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870" windowWidth="11340" windowHeight="5505"/>
  </bookViews>
  <sheets>
    <sheet name="Лист1" sheetId="1" r:id="rId1"/>
  </sheets>
  <calcPr calcId="145621" iterate="1" fullPrecision="0"/>
</workbook>
</file>

<file path=xl/calcChain.xml><?xml version="1.0" encoding="utf-8"?>
<calcChain xmlns="http://schemas.openxmlformats.org/spreadsheetml/2006/main">
  <c r="D174" i="1" l="1"/>
  <c r="D189" i="1" s="1"/>
  <c r="N136" i="1" l="1"/>
  <c r="O136" i="1" s="1"/>
  <c r="E114" i="1"/>
  <c r="N93" i="1" l="1"/>
  <c r="D188" i="1" l="1"/>
  <c r="N184" i="1" l="1"/>
  <c r="O184" i="1" s="1"/>
  <c r="N185" i="1"/>
  <c r="O185" i="1" s="1"/>
  <c r="N186" i="1"/>
  <c r="O186" i="1" s="1"/>
  <c r="N183" i="1"/>
  <c r="E188" i="1"/>
  <c r="O183" i="1" l="1"/>
  <c r="O188" i="1" s="1"/>
  <c r="N188" i="1"/>
  <c r="N175" i="1"/>
  <c r="O175" i="1" s="1"/>
  <c r="O176" i="1"/>
  <c r="O177" i="1"/>
  <c r="O94" i="1"/>
  <c r="O95" i="1"/>
  <c r="E159" i="1" l="1"/>
  <c r="O93" i="1" l="1"/>
  <c r="I148" i="1" l="1"/>
  <c r="N135" i="1" l="1"/>
  <c r="O135" i="1" s="1"/>
  <c r="E172" i="1" l="1"/>
  <c r="N162" i="1"/>
  <c r="O162" i="1" s="1"/>
  <c r="N163" i="1"/>
  <c r="O163" i="1" s="1"/>
  <c r="N147" i="1"/>
  <c r="O147" i="1" s="1"/>
  <c r="N148" i="1"/>
  <c r="O148" i="1" s="1"/>
  <c r="N150" i="1"/>
  <c r="O150" i="1" s="1"/>
  <c r="N151" i="1"/>
  <c r="O151" i="1" s="1"/>
  <c r="N153" i="1"/>
  <c r="O153" i="1" s="1"/>
  <c r="N154" i="1"/>
  <c r="O154" i="1" s="1"/>
  <c r="N132" i="1"/>
  <c r="O132" i="1" s="1"/>
  <c r="I149" i="1"/>
  <c r="N149" i="1" s="1"/>
  <c r="O149" i="1" s="1"/>
  <c r="I129" i="1"/>
  <c r="N129" i="1" s="1"/>
  <c r="O129" i="1" s="1"/>
  <c r="E33" i="1" l="1"/>
  <c r="G33" i="1" s="1"/>
  <c r="K33" i="1" l="1"/>
  <c r="N33" i="1" s="1"/>
  <c r="O33" i="1" s="1"/>
  <c r="E90" i="1"/>
  <c r="E83" i="1"/>
  <c r="M168" i="1"/>
  <c r="N168" i="1" s="1"/>
  <c r="O168" i="1" s="1"/>
  <c r="M157" i="1"/>
  <c r="N157" i="1" s="1"/>
  <c r="O157" i="1" s="1"/>
  <c r="D138" i="1"/>
  <c r="D110" i="1"/>
  <c r="M169" i="1"/>
  <c r="I118" i="1"/>
  <c r="N165" i="1"/>
  <c r="O165" i="1" s="1"/>
  <c r="N164" i="1"/>
  <c r="O164" i="1" s="1"/>
  <c r="N167" i="1"/>
  <c r="O167" i="1" s="1"/>
  <c r="N53" i="1"/>
  <c r="O53" i="1" s="1"/>
  <c r="M138" i="1" l="1"/>
  <c r="D30" i="1"/>
  <c r="E133" i="1" l="1"/>
  <c r="E126" i="1"/>
  <c r="I133" i="1" l="1"/>
  <c r="G133" i="1"/>
  <c r="N68" i="1"/>
  <c r="O68" i="1" s="1"/>
  <c r="N126" i="1"/>
  <c r="O126" i="1" s="1"/>
  <c r="D118" i="1"/>
  <c r="E117" i="1"/>
  <c r="N117" i="1" s="1"/>
  <c r="O117" i="1" s="1"/>
  <c r="G118" i="1"/>
  <c r="N133" i="1" l="1"/>
  <c r="O133" i="1" s="1"/>
  <c r="E118" i="1"/>
  <c r="K118" i="1"/>
  <c r="N118" i="1" l="1"/>
  <c r="O118" i="1"/>
  <c r="E108" i="1" l="1"/>
  <c r="N146" i="1" l="1"/>
  <c r="O146" i="1" s="1"/>
  <c r="N158" i="1"/>
  <c r="O158" i="1" s="1"/>
  <c r="N145" i="1"/>
  <c r="O145" i="1" s="1"/>
  <c r="D142" i="1" l="1"/>
  <c r="N166" i="1" l="1"/>
  <c r="O166" i="1" s="1"/>
  <c r="N171" i="1"/>
  <c r="O171" i="1" s="1"/>
  <c r="N170" i="1"/>
  <c r="O170" i="1" s="1"/>
  <c r="N161" i="1"/>
  <c r="O161" i="1" s="1"/>
  <c r="E130" i="1"/>
  <c r="I131" i="1"/>
  <c r="N131" i="1" s="1"/>
  <c r="O131" i="1" s="1"/>
  <c r="I127" i="1"/>
  <c r="N127" i="1" s="1"/>
  <c r="O127" i="1" s="1"/>
  <c r="I128" i="1"/>
  <c r="N128" i="1" s="1"/>
  <c r="O128" i="1" s="1"/>
  <c r="E124" i="1"/>
  <c r="E123" i="1"/>
  <c r="E103" i="1"/>
  <c r="E140" i="1"/>
  <c r="E142" i="1" s="1"/>
  <c r="E134" i="1"/>
  <c r="E113" i="1"/>
  <c r="E109" i="1"/>
  <c r="N109" i="1" s="1"/>
  <c r="O109" i="1" s="1"/>
  <c r="E107" i="1"/>
  <c r="N86" i="1"/>
  <c r="O86" i="1" s="1"/>
  <c r="N87" i="1"/>
  <c r="O87" i="1" s="1"/>
  <c r="N88" i="1"/>
  <c r="O88" i="1" s="1"/>
  <c r="N89" i="1"/>
  <c r="O89" i="1" s="1"/>
  <c r="N85" i="1"/>
  <c r="O85" i="1" s="1"/>
  <c r="D90" i="1"/>
  <c r="N74" i="1"/>
  <c r="O74" i="1" s="1"/>
  <c r="N75" i="1"/>
  <c r="O75" i="1" s="1"/>
  <c r="N80" i="1"/>
  <c r="O80" i="1" s="1"/>
  <c r="N81" i="1"/>
  <c r="O81" i="1" s="1"/>
  <c r="N82" i="1"/>
  <c r="O82" i="1" s="1"/>
  <c r="N73" i="1"/>
  <c r="O73" i="1" s="1"/>
  <c r="N69" i="1"/>
  <c r="O69" i="1" s="1"/>
  <c r="E67" i="1"/>
  <c r="E66" i="1"/>
  <c r="E137" i="1"/>
  <c r="N137" i="1" s="1"/>
  <c r="O137" i="1" s="1"/>
  <c r="E63" i="1"/>
  <c r="N63" i="1" s="1"/>
  <c r="O63" i="1" s="1"/>
  <c r="E62" i="1"/>
  <c r="N62" i="1" s="1"/>
  <c r="O62" i="1" s="1"/>
  <c r="D64" i="1"/>
  <c r="E60" i="1"/>
  <c r="N60" i="1" s="1"/>
  <c r="O60" i="1" s="1"/>
  <c r="E59" i="1"/>
  <c r="N59" i="1" s="1"/>
  <c r="O59" i="1" s="1"/>
  <c r="N51" i="1"/>
  <c r="O51" i="1" s="1"/>
  <c r="N52" i="1"/>
  <c r="O52" i="1" s="1"/>
  <c r="N54" i="1"/>
  <c r="O54" i="1" s="1"/>
  <c r="N58" i="1"/>
  <c r="O58" i="1" s="1"/>
  <c r="N61" i="1"/>
  <c r="O61" i="1" s="1"/>
  <c r="E57" i="1"/>
  <c r="E56" i="1"/>
  <c r="E55" i="1"/>
  <c r="N49" i="1"/>
  <c r="O49" i="1" s="1"/>
  <c r="N50" i="1"/>
  <c r="O50" i="1" s="1"/>
  <c r="N48" i="1"/>
  <c r="O48" i="1" s="1"/>
  <c r="E29" i="1"/>
  <c r="E28" i="1"/>
  <c r="E27" i="1"/>
  <c r="E47" i="1"/>
  <c r="N47" i="1" s="1"/>
  <c r="O47" i="1" s="1"/>
  <c r="N45" i="1"/>
  <c r="O45" i="1" s="1"/>
  <c r="E46" i="1"/>
  <c r="N46" i="1" s="1"/>
  <c r="O46" i="1" s="1"/>
  <c r="E39" i="1"/>
  <c r="E35" i="1"/>
  <c r="E34" i="1"/>
  <c r="E22" i="1"/>
  <c r="K22" i="1" s="1"/>
  <c r="E23" i="1"/>
  <c r="E106" i="1"/>
  <c r="E24" i="1"/>
  <c r="G24" i="1" s="1"/>
  <c r="E25" i="1"/>
  <c r="G25" i="1" s="1"/>
  <c r="E26" i="1"/>
  <c r="G26" i="1" s="1"/>
  <c r="E21" i="1"/>
  <c r="G21" i="1" s="1"/>
  <c r="E17" i="1"/>
  <c r="I17" i="1" s="1"/>
  <c r="I103" i="1" l="1"/>
  <c r="E70" i="1"/>
  <c r="I134" i="1"/>
  <c r="G134" i="1"/>
  <c r="G138" i="1" s="1"/>
  <c r="N106" i="1"/>
  <c r="O106" i="1" s="1"/>
  <c r="G22" i="1"/>
  <c r="N22" i="1" s="1"/>
  <c r="O22" i="1" s="1"/>
  <c r="G55" i="1"/>
  <c r="I55" i="1"/>
  <c r="I140" i="1"/>
  <c r="E20" i="1"/>
  <c r="G20" i="1" s="1"/>
  <c r="K39" i="1"/>
  <c r="K40" i="1" s="1"/>
  <c r="G39" i="1"/>
  <c r="G40" i="1" s="1"/>
  <c r="G107" i="1"/>
  <c r="E104" i="1"/>
  <c r="M104" i="1" s="1"/>
  <c r="K35" i="1"/>
  <c r="G35" i="1"/>
  <c r="O90" i="1"/>
  <c r="I122" i="1"/>
  <c r="N122" i="1" s="1"/>
  <c r="O122" i="1" s="1"/>
  <c r="I124" i="1"/>
  <c r="N124" i="1" s="1"/>
  <c r="O124" i="1" s="1"/>
  <c r="I130" i="1"/>
  <c r="N130" i="1" s="1"/>
  <c r="O130" i="1" s="1"/>
  <c r="K23" i="1"/>
  <c r="G23" i="1"/>
  <c r="K34" i="1"/>
  <c r="G34" i="1"/>
  <c r="I123" i="1"/>
  <c r="N123" i="1" s="1"/>
  <c r="O123" i="1" s="1"/>
  <c r="I125" i="1"/>
  <c r="N125" i="1" s="1"/>
  <c r="O125" i="1" s="1"/>
  <c r="N90" i="1"/>
  <c r="K27" i="1"/>
  <c r="G27" i="1"/>
  <c r="K28" i="1"/>
  <c r="G28" i="1"/>
  <c r="K29" i="1"/>
  <c r="G29" i="1"/>
  <c r="I108" i="1"/>
  <c r="N108" i="1" s="1"/>
  <c r="O108" i="1" s="1"/>
  <c r="E105" i="1"/>
  <c r="G17" i="1"/>
  <c r="N66" i="1"/>
  <c r="O66" i="1" s="1"/>
  <c r="I37" i="1"/>
  <c r="E120" i="1"/>
  <c r="G113" i="1"/>
  <c r="K107" i="1"/>
  <c r="K113" i="1"/>
  <c r="E91" i="1"/>
  <c r="E40" i="1"/>
  <c r="N67" i="1"/>
  <c r="O67" i="1" s="1"/>
  <c r="K26" i="1"/>
  <c r="K24" i="1"/>
  <c r="E19" i="1"/>
  <c r="K25" i="1"/>
  <c r="K21" i="1"/>
  <c r="E18" i="1"/>
  <c r="G18" i="1" s="1"/>
  <c r="K17" i="1"/>
  <c r="M17" i="1"/>
  <c r="E110" i="1" l="1"/>
  <c r="I110" i="1"/>
  <c r="M105" i="1"/>
  <c r="G105" i="1"/>
  <c r="K105" i="1"/>
  <c r="N107" i="1"/>
  <c r="O107" i="1" s="1"/>
  <c r="G19" i="1"/>
  <c r="G30" i="1" s="1"/>
  <c r="M19" i="1"/>
  <c r="M110" i="1"/>
  <c r="K20" i="1"/>
  <c r="M20" i="1"/>
  <c r="E30" i="1"/>
  <c r="N103" i="1"/>
  <c r="O103" i="1" s="1"/>
  <c r="K104" i="1"/>
  <c r="G104" i="1"/>
  <c r="N134" i="1"/>
  <c r="O134" i="1" s="1"/>
  <c r="N34" i="1"/>
  <c r="O34" i="1" s="1"/>
  <c r="N23" i="1"/>
  <c r="O23" i="1" s="1"/>
  <c r="N29" i="1"/>
  <c r="O29" i="1" s="1"/>
  <c r="G64" i="1"/>
  <c r="N28" i="1"/>
  <c r="O28" i="1" s="1"/>
  <c r="I115" i="1"/>
  <c r="N27" i="1"/>
  <c r="O27" i="1" s="1"/>
  <c r="I64" i="1"/>
  <c r="K19" i="1"/>
  <c r="I120" i="1"/>
  <c r="E121" i="1"/>
  <c r="E138" i="1" s="1"/>
  <c r="N113" i="1"/>
  <c r="O113" i="1" s="1"/>
  <c r="N39" i="1"/>
  <c r="O39" i="1" s="1"/>
  <c r="N35" i="1"/>
  <c r="O35" i="1" s="1"/>
  <c r="N25" i="1"/>
  <c r="O25" i="1" s="1"/>
  <c r="N24" i="1"/>
  <c r="O24" i="1" s="1"/>
  <c r="N26" i="1"/>
  <c r="O26" i="1" s="1"/>
  <c r="N21" i="1"/>
  <c r="O21" i="1" s="1"/>
  <c r="N17" i="1"/>
  <c r="O17" i="1" s="1"/>
  <c r="K18" i="1"/>
  <c r="G110" i="1" l="1"/>
  <c r="N105" i="1"/>
  <c r="O105" i="1" s="1"/>
  <c r="K110" i="1"/>
  <c r="N20" i="1"/>
  <c r="O20" i="1" s="1"/>
  <c r="K30" i="1"/>
  <c r="N104" i="1"/>
  <c r="O104" i="1" s="1"/>
  <c r="N40" i="1"/>
  <c r="I121" i="1"/>
  <c r="N19" i="1"/>
  <c r="O19" i="1" s="1"/>
  <c r="N120" i="1"/>
  <c r="O120" i="1" s="1"/>
  <c r="O110" i="1" l="1"/>
  <c r="N110" i="1"/>
  <c r="N121" i="1"/>
  <c r="O121" i="1" s="1"/>
  <c r="I138" i="1"/>
  <c r="I172" i="1"/>
  <c r="I156" i="1"/>
  <c r="N156" i="1" s="1"/>
  <c r="O156" i="1" s="1"/>
  <c r="I155" i="1"/>
  <c r="N155" i="1" s="1"/>
  <c r="O155" i="1" s="1"/>
  <c r="I152" i="1"/>
  <c r="N152" i="1" s="1"/>
  <c r="O152" i="1" s="1"/>
  <c r="O138" i="1" l="1"/>
  <c r="O159" i="1"/>
  <c r="I159" i="1"/>
  <c r="I173" i="1" s="1"/>
  <c r="N138" i="1"/>
  <c r="N159" i="1"/>
  <c r="I71" i="1"/>
  <c r="N55" i="1"/>
  <c r="O55" i="1" s="1"/>
  <c r="I92" i="1" l="1"/>
  <c r="I100" i="1" s="1"/>
  <c r="D114" i="1"/>
  <c r="M18" i="1" l="1"/>
  <c r="M30" i="1" s="1"/>
  <c r="N18" i="1" l="1"/>
  <c r="O18" i="1" s="1"/>
  <c r="D36" i="1"/>
  <c r="O30" i="1" l="1"/>
  <c r="N30" i="1"/>
  <c r="E43" i="1" l="1"/>
  <c r="E42" i="1"/>
  <c r="E32" i="1"/>
  <c r="E36" i="1" s="1"/>
  <c r="G32" i="1" l="1"/>
  <c r="G36" i="1" s="1"/>
  <c r="G37" i="1" s="1"/>
  <c r="M32" i="1"/>
  <c r="M36" i="1" s="1"/>
  <c r="E112" i="1"/>
  <c r="N43" i="1"/>
  <c r="O43" i="1" s="1"/>
  <c r="N42" i="1"/>
  <c r="O42" i="1" s="1"/>
  <c r="K32" i="1"/>
  <c r="E37" i="1"/>
  <c r="E44" i="1"/>
  <c r="E64" i="1" s="1"/>
  <c r="K36" i="1" l="1"/>
  <c r="K37" i="1" s="1"/>
  <c r="K92" i="1" s="1"/>
  <c r="M112" i="1"/>
  <c r="M114" i="1" s="1"/>
  <c r="E115" i="1"/>
  <c r="G112" i="1"/>
  <c r="G114" i="1" s="1"/>
  <c r="G115" i="1" s="1"/>
  <c r="K112" i="1"/>
  <c r="K114" i="1" s="1"/>
  <c r="E71" i="1"/>
  <c r="E92" i="1" s="1"/>
  <c r="N44" i="1"/>
  <c r="O44" i="1" s="1"/>
  <c r="M37" i="1"/>
  <c r="M92" i="1" s="1"/>
  <c r="N32" i="1" l="1"/>
  <c r="O32" i="1" s="1"/>
  <c r="N57" i="1"/>
  <c r="O57" i="1" s="1"/>
  <c r="G71" i="1" l="1"/>
  <c r="G92" i="1" s="1"/>
  <c r="N56" i="1"/>
  <c r="O56" i="1" s="1"/>
  <c r="N64" i="1" l="1"/>
  <c r="O64" i="1"/>
  <c r="N141" i="1"/>
  <c r="O141" i="1" s="1"/>
  <c r="O70" i="1" l="1"/>
  <c r="O71" i="1" s="1"/>
  <c r="N70" i="1"/>
  <c r="N71" i="1" s="1"/>
  <c r="I142" i="1"/>
  <c r="O36" i="1" l="1"/>
  <c r="O37" i="1" s="1"/>
  <c r="N36" i="1"/>
  <c r="N37" i="1" s="1"/>
  <c r="I143" i="1"/>
  <c r="I174" i="1" s="1"/>
  <c r="I189" i="1" l="1"/>
  <c r="I190" i="1" s="1"/>
  <c r="N169" i="1"/>
  <c r="O169" i="1" s="1"/>
  <c r="O40" i="1" l="1"/>
  <c r="M159" i="1" l="1"/>
  <c r="M172" i="1"/>
  <c r="M173" i="1" l="1"/>
  <c r="N140" i="1"/>
  <c r="O140" i="1" s="1"/>
  <c r="N79" i="1"/>
  <c r="O79" i="1" s="1"/>
  <c r="N77" i="1"/>
  <c r="O77" i="1" s="1"/>
  <c r="N78" i="1"/>
  <c r="O78" i="1" s="1"/>
  <c r="N76" i="1"/>
  <c r="O76" i="1" s="1"/>
  <c r="N83" i="1" l="1"/>
  <c r="N91" i="1" s="1"/>
  <c r="M115" i="1"/>
  <c r="N112" i="1"/>
  <c r="O112" i="1" s="1"/>
  <c r="O83" i="1"/>
  <c r="O91" i="1" s="1"/>
  <c r="E143" i="1"/>
  <c r="D40" i="1"/>
  <c r="G142" i="1"/>
  <c r="D83" i="1"/>
  <c r="D70" i="1"/>
  <c r="O114" i="1" l="1"/>
  <c r="N114" i="1"/>
  <c r="K115" i="1"/>
  <c r="E173" i="1"/>
  <c r="E100" i="1"/>
  <c r="D91" i="1"/>
  <c r="N92" i="1" s="1"/>
  <c r="G143" i="1"/>
  <c r="D143" i="1"/>
  <c r="O172" i="1"/>
  <c r="D115" i="1"/>
  <c r="D159" i="1"/>
  <c r="D172" i="1"/>
  <c r="D71" i="1"/>
  <c r="D37" i="1"/>
  <c r="O92" i="1" l="1"/>
  <c r="O100" i="1" s="1"/>
  <c r="O115" i="1"/>
  <c r="N115" i="1"/>
  <c r="E174" i="1"/>
  <c r="E189" i="1" s="1"/>
  <c r="E190" i="1" s="1"/>
  <c r="D92" i="1"/>
  <c r="D100" i="1" s="1"/>
  <c r="O142" i="1"/>
  <c r="M174" i="1"/>
  <c r="M189" i="1" s="1"/>
  <c r="K100" i="1"/>
  <c r="D173" i="1"/>
  <c r="N142" i="1"/>
  <c r="N172" i="1"/>
  <c r="K190" i="1" l="1"/>
  <c r="K174" i="1"/>
  <c r="K189" i="1" s="1"/>
  <c r="G174" i="1"/>
  <c r="G189" i="1" s="1"/>
  <c r="G100" i="1"/>
  <c r="G190" i="1" s="1"/>
  <c r="O143" i="1"/>
  <c r="M100" i="1"/>
  <c r="M190" i="1" s="1"/>
  <c r="N173" i="1"/>
  <c r="O173" i="1"/>
  <c r="N143" i="1"/>
  <c r="D190" i="1" l="1"/>
  <c r="N174" i="1"/>
  <c r="N189" i="1" s="1"/>
  <c r="N100" i="1"/>
  <c r="O174" i="1"/>
  <c r="O189" i="1" l="1"/>
  <c r="O190" i="1" s="1"/>
  <c r="N190" i="1"/>
</calcChain>
</file>

<file path=xl/sharedStrings.xml><?xml version="1.0" encoding="utf-8"?>
<sst xmlns="http://schemas.openxmlformats.org/spreadsheetml/2006/main" count="228" uniqueCount="146">
  <si>
    <t>№ п/п</t>
  </si>
  <si>
    <t>Посадовий оклад</t>
  </si>
  <si>
    <t>Головний бухгалтер</t>
  </si>
  <si>
    <t>Заступник головного бухгалтера</t>
  </si>
  <si>
    <t>Архіваріус</t>
  </si>
  <si>
    <t>Діловод</t>
  </si>
  <si>
    <t>Двірник</t>
  </si>
  <si>
    <t>Водій автотранспортних засобів</t>
  </si>
  <si>
    <t>Комірник</t>
  </si>
  <si>
    <t>Завідувач гуртожитку</t>
  </si>
  <si>
    <t>Завідувач господарства</t>
  </si>
  <si>
    <t>Завідувач бібліотеки</t>
  </si>
  <si>
    <t>Тарифний розряд</t>
  </si>
  <si>
    <t>%</t>
  </si>
  <si>
    <t>грн</t>
  </si>
  <si>
    <t>Доплата за вчене звання науковий ступінь, керівництво гуртожитком,особливі умови праці тощо(грн.)</t>
  </si>
  <si>
    <t>Назва посади</t>
  </si>
  <si>
    <t>Кількість штатних посад</t>
  </si>
  <si>
    <t>Надбавка за вислугу років (грн.)</t>
  </si>
  <si>
    <t>Фонд заробітної плати на місяць (грн.)</t>
  </si>
  <si>
    <t>Фонд заробітної плати на рік (грн.)</t>
  </si>
  <si>
    <t xml:space="preserve">Надбавка високі досягн.у праці, класн,почесні та спорт.звання (грн.) </t>
  </si>
  <si>
    <t>1. Загальний фонд</t>
  </si>
  <si>
    <t>1.2 .Майстри виробничого навчання</t>
  </si>
  <si>
    <t>Головний бухгалтер                                                                                                                                                   Є.М.Рахманова</t>
  </si>
  <si>
    <t xml:space="preserve">Вихователь </t>
  </si>
  <si>
    <t>Заступник директора з навчальної роботи</t>
  </si>
  <si>
    <t>Заступник директора з навчально-виховної роботи</t>
  </si>
  <si>
    <t>Заступник директора  з навчально- виробничої роботи</t>
  </si>
  <si>
    <t>Секретар навчальної частини</t>
  </si>
  <si>
    <t xml:space="preserve">Матеріальна допомога на оздоровлення педагогічним працівникам </t>
  </si>
  <si>
    <t xml:space="preserve">Грошова винагорода за сумлінну працю педагогічним працівникам </t>
  </si>
  <si>
    <t>викладачі вищого навчального закладу</t>
  </si>
  <si>
    <t>Державний вищій навчальний заклад "Артемівський коледж транспортної інфраструктури"</t>
  </si>
  <si>
    <t>Директор коледжу</t>
  </si>
  <si>
    <t>Фахівці    м.Дебальцеве</t>
  </si>
  <si>
    <t>Надбавка відповідно до постанови Кабінету Міністрів України від 23.03.2011 №373   (грн)</t>
  </si>
  <si>
    <t>Всього по 1.1.</t>
  </si>
  <si>
    <t xml:space="preserve">Майстер виробничого навчання м.Дебальцеве </t>
  </si>
  <si>
    <t>1.3. Фахівці м.Артемівськ</t>
  </si>
  <si>
    <t>Всього по 1.2</t>
  </si>
  <si>
    <t>Всього м.Артемівськ</t>
  </si>
  <si>
    <t>Всього м.Дебальцеве</t>
  </si>
  <si>
    <t xml:space="preserve">Всього по 1.3. </t>
  </si>
  <si>
    <t>1.4. Робітники м.Артемівськ</t>
  </si>
  <si>
    <t>Всього по 1.4.</t>
  </si>
  <si>
    <t>Разом по 1.1.-1.4.</t>
  </si>
  <si>
    <t xml:space="preserve">Надбавка викладачам за вислугу років </t>
  </si>
  <si>
    <t xml:space="preserve">Надбавка викладачам відповідно до постанови КМУ від 23.03.2011р № 373 </t>
  </si>
  <si>
    <t>Матеріальна допомога на оздоровлення працівникам бібліотеки</t>
  </si>
  <si>
    <t>Загальний фонд ,всього</t>
  </si>
  <si>
    <t xml:space="preserve">2. Спеціальний фонд </t>
  </si>
  <si>
    <t>2.1. Персонал, за умовами оплати праці віднесений до педпрацівників (крім майстрів виробничого навчання) м.Артемівськ</t>
  </si>
  <si>
    <t>Всього по 2.1.</t>
  </si>
  <si>
    <t>2.3. Фахівці м.Артемівськ</t>
  </si>
  <si>
    <t>Всього по 2.3.</t>
  </si>
  <si>
    <t>Всього по 2.4.</t>
  </si>
  <si>
    <t>Разом по 2.1. -2.4.</t>
  </si>
  <si>
    <t>ПОГОДЖЕНО:</t>
  </si>
  <si>
    <t>ЗАТВЕРДЖУЮ</t>
  </si>
  <si>
    <t xml:space="preserve">Практичний психолог </t>
  </si>
  <si>
    <t xml:space="preserve"> </t>
  </si>
  <si>
    <t>Завідувач відділення за спеціальністю" Організація перевезень і управління на залізничному транспорті"</t>
  </si>
  <si>
    <t>Завідувач відділення за спеціальністю"Монтаж обслуговування та ремонт автоматизованих систем керування рухом на залізничному транспорті"</t>
  </si>
  <si>
    <t>Завідувач відділення за спеціальністю  "Обслуговування і ремонт залізничних споруд та об'єктів колійного господарства"</t>
  </si>
  <si>
    <t>Завідувач відділення транспортної інфраструктури</t>
  </si>
  <si>
    <t>Слюсар -сантехнік</t>
  </si>
  <si>
    <t>Голова профспілки                                                                                                                                                     Я.В.Мальцева</t>
  </si>
  <si>
    <t>1.8</t>
  </si>
  <si>
    <t>1.9</t>
  </si>
  <si>
    <t>1.10</t>
  </si>
  <si>
    <t>1.11</t>
  </si>
  <si>
    <t>Нерозподілені видатки</t>
  </si>
  <si>
    <t xml:space="preserve">Столяр </t>
  </si>
  <si>
    <t xml:space="preserve">Слюсар-сантехнік </t>
  </si>
  <si>
    <t xml:space="preserve">Черговий по гуртожитку        </t>
  </si>
  <si>
    <t xml:space="preserve">Швейцар </t>
  </si>
  <si>
    <t xml:space="preserve">Водій автотранспортних засобів </t>
  </si>
  <si>
    <t xml:space="preserve">Черговий по гуртожитку </t>
  </si>
  <si>
    <t>Всього по Державному вищому навчальному закладу "Артемівський коледж транспортної інфраструктури"</t>
  </si>
  <si>
    <t>Спеціальний фонд, всього</t>
  </si>
  <si>
    <t>Керівник фізичного виховання</t>
  </si>
  <si>
    <t>Завідувач навчальної лабораторії (обчисл.центр)</t>
  </si>
  <si>
    <t>Завідувач навчально-виробничої майстерні</t>
  </si>
  <si>
    <t>Методист (1 кат.)</t>
  </si>
  <si>
    <t>Завідувач філії</t>
  </si>
  <si>
    <t>Заступник директора з адміністративно-господарської роботи</t>
  </si>
  <si>
    <t>Секретар-друкарка</t>
  </si>
  <si>
    <t>Бухгалтер (1 кат.)</t>
  </si>
  <si>
    <t>Бухгалтер</t>
  </si>
  <si>
    <t>Старший інспектор з кадрів</t>
  </si>
  <si>
    <t>Інспектор з кадрів (з обліку студентів)</t>
  </si>
  <si>
    <t>Бібліотекар</t>
  </si>
  <si>
    <t>Адміністратор бази даних</t>
  </si>
  <si>
    <t>Лаборант</t>
  </si>
  <si>
    <t>Інженер</t>
  </si>
  <si>
    <t>Юрисконсульт</t>
  </si>
  <si>
    <t xml:space="preserve">Електромонтер з обслуговування та ремонту електроустаткування    </t>
  </si>
  <si>
    <t>Каштелян</t>
  </si>
  <si>
    <t xml:space="preserve">Прибиральник службових приміщень </t>
  </si>
  <si>
    <t xml:space="preserve">Електромонтер з обслуговування та ремонту електроустаткування </t>
  </si>
  <si>
    <t>Методист</t>
  </si>
  <si>
    <t>Заступник завідувача філії з навчально-виробничої роботи</t>
  </si>
  <si>
    <t>Гардеробник ( 2 од.на 6 місяців)</t>
  </si>
  <si>
    <t>1.5</t>
  </si>
  <si>
    <t>2.2 .Майстри виробничого навчання</t>
  </si>
  <si>
    <t>Всього по 2.2</t>
  </si>
  <si>
    <t>Гардеробник (на 6 місяців)</t>
  </si>
  <si>
    <t>Секретар-друкарка (підрозділ по роботі з кадрами)</t>
  </si>
  <si>
    <t>Завідувач відділення за спеціальностями "Технічне обслуговування, ремонт та експлуатація тягового рухомого складу", "Технічне обслуговування та ремонт вагонів", "Обслуговування і ремонт залізничних споруд та об'єктів колійного господарства"</t>
  </si>
  <si>
    <t xml:space="preserve"> Персонал, за умовами оплати праці віднесений до педпрацівників (крім майстрів виробничого навчання) м.Дебальцеве</t>
  </si>
  <si>
    <t>1.6</t>
  </si>
  <si>
    <t>1.7</t>
  </si>
  <si>
    <t>Бухгалтер (2 кат.)</t>
  </si>
  <si>
    <t>Економіст (1 кат.)</t>
  </si>
  <si>
    <t>2.5</t>
  </si>
  <si>
    <t>2.6</t>
  </si>
  <si>
    <t>2.7</t>
  </si>
  <si>
    <t>2.8</t>
  </si>
  <si>
    <t>2.9</t>
  </si>
  <si>
    <t>2.10</t>
  </si>
  <si>
    <t>2.11</t>
  </si>
  <si>
    <t>вводиться в дію з 01 січня 2015 р</t>
  </si>
  <si>
    <t>Штатний розпис на 2015 рік</t>
  </si>
  <si>
    <t>Викладачі вищого навчального закладу</t>
  </si>
  <si>
    <t>Інженер з охорони праці</t>
  </si>
  <si>
    <t>Фахівці м.Дебальцеве</t>
  </si>
  <si>
    <t>Робітники м.Дебальцеве</t>
  </si>
  <si>
    <t>Майстер виробничого навчання м.Артемівськ</t>
  </si>
  <si>
    <t>1.1. Персонал, за умовами оплати праці віднесений до педпрацівників (крім майстрів виробничого навчання (м.Артемівськ))</t>
  </si>
  <si>
    <t>Персонал, за умовами оплати праці віднесений до педпрацівників (крім майстрів виробничого навчання (м.Дебальцеве))</t>
  </si>
  <si>
    <t>2.4.  Робітники м.Артемівськ</t>
  </si>
  <si>
    <t>Підготовче відділення</t>
  </si>
  <si>
    <t>Завідувач відділення</t>
  </si>
  <si>
    <t>1</t>
  </si>
  <si>
    <t>2</t>
  </si>
  <si>
    <t>3</t>
  </si>
  <si>
    <t>4</t>
  </si>
  <si>
    <t>Всього по підготовчому відділенню</t>
  </si>
  <si>
    <t>5</t>
  </si>
  <si>
    <t>штат в кількості 206,09 штатних одиниць</t>
  </si>
  <si>
    <r>
      <t xml:space="preserve">з місячним фондом заробітної плати </t>
    </r>
    <r>
      <rPr>
        <b/>
        <sz val="28"/>
        <rFont val="Arial Cyr"/>
        <charset val="204"/>
      </rPr>
      <t>466 549,67 грн.</t>
    </r>
  </si>
  <si>
    <t>_________________2015р.</t>
  </si>
  <si>
    <t>В.о. директора коледжу                                                                                                                                                     М.Ф.Зінченко</t>
  </si>
  <si>
    <t>_________________________П.Б.Полянський</t>
  </si>
  <si>
    <t>Заступник Міністра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</si>
</sst>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грн.&quot;;[Red]\-#,##0.00\ &quot;грн.&quot;"/>
  </numFmts>
  <fonts count="16" x14ac:knownFonts="1">
    <font>
      <sz val="10"/>
      <name val="Arial Cyr"/>
      <charset val="204"/>
    </font>
    <font>
      <sz val="14"/>
      <name val="Arial Cyr"/>
      <charset val="204"/>
    </font>
    <font>
      <sz val="20"/>
      <name val="Arial Cyr"/>
      <charset val="204"/>
    </font>
    <font>
      <b/>
      <sz val="20"/>
      <name val="Arial Cyr"/>
      <charset val="204"/>
    </font>
    <font>
      <b/>
      <sz val="20"/>
      <name val="Arial Cyr"/>
      <family val="2"/>
      <charset val="204"/>
    </font>
    <font>
      <sz val="20"/>
      <name val="Arial Cyr"/>
      <family val="2"/>
      <charset val="204"/>
    </font>
    <font>
      <sz val="24"/>
      <name val="Arial Cyr"/>
      <charset val="204"/>
    </font>
    <font>
      <b/>
      <sz val="26"/>
      <name val="Arial Cyr"/>
      <charset val="204"/>
    </font>
    <font>
      <sz val="26"/>
      <name val="Arial Cyr"/>
      <charset val="204"/>
    </font>
    <font>
      <b/>
      <u/>
      <sz val="28"/>
      <name val="Arial Cyr"/>
      <charset val="204"/>
    </font>
    <font>
      <b/>
      <sz val="28"/>
      <name val="Arial Cyr"/>
      <charset val="204"/>
    </font>
    <font>
      <sz val="28"/>
      <name val="Arial Cyr"/>
      <charset val="204"/>
    </font>
    <font>
      <sz val="28"/>
      <name val="Arial"/>
      <family val="2"/>
      <charset val="204"/>
    </font>
    <font>
      <b/>
      <sz val="28"/>
      <name val="Arial"/>
      <family val="2"/>
      <charset val="204"/>
    </font>
    <font>
      <b/>
      <sz val="26"/>
      <name val="Arial"/>
      <family val="2"/>
      <charset val="204"/>
    </font>
    <font>
      <sz val="26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7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5" fillId="0" borderId="0" xfId="0" applyFont="1"/>
    <xf numFmtId="0" fontId="6" fillId="0" borderId="0" xfId="0" applyFont="1"/>
    <xf numFmtId="0" fontId="8" fillId="0" borderId="0" xfId="0" applyFont="1"/>
    <xf numFmtId="0" fontId="7" fillId="0" borderId="0" xfId="0" applyFont="1"/>
    <xf numFmtId="0" fontId="10" fillId="0" borderId="0" xfId="0" applyFont="1"/>
    <xf numFmtId="0" fontId="8" fillId="0" borderId="0" xfId="0" applyFont="1" applyFill="1"/>
    <xf numFmtId="0" fontId="10" fillId="0" borderId="0" xfId="0" applyFont="1" applyFill="1"/>
    <xf numFmtId="0" fontId="10" fillId="0" borderId="0" xfId="0" applyFont="1" applyFill="1" applyAlignment="1"/>
    <xf numFmtId="0" fontId="11" fillId="0" borderId="0" xfId="0" applyFont="1" applyFill="1"/>
    <xf numFmtId="0" fontId="11" fillId="0" borderId="0" xfId="0" applyFont="1"/>
    <xf numFmtId="2" fontId="12" fillId="0" borderId="2" xfId="0" applyNumberFormat="1" applyFont="1" applyFill="1" applyBorder="1"/>
    <xf numFmtId="2" fontId="12" fillId="0" borderId="1" xfId="0" applyNumberFormat="1" applyFont="1" applyFill="1" applyBorder="1"/>
    <xf numFmtId="2" fontId="13" fillId="0" borderId="2" xfId="0" applyNumberFormat="1" applyFont="1" applyFill="1" applyBorder="1"/>
    <xf numFmtId="2" fontId="13" fillId="0" borderId="1" xfId="0" applyNumberFormat="1" applyFont="1" applyFill="1" applyBorder="1"/>
    <xf numFmtId="0" fontId="12" fillId="0" borderId="0" xfId="0" applyFont="1"/>
    <xf numFmtId="1" fontId="12" fillId="0" borderId="1" xfId="0" applyNumberFormat="1" applyFont="1" applyFill="1" applyBorder="1"/>
    <xf numFmtId="0" fontId="11" fillId="0" borderId="0" xfId="0" applyFont="1" applyFill="1" applyAlignment="1">
      <alignment horizontal="right"/>
    </xf>
    <xf numFmtId="0" fontId="11" fillId="0" borderId="0" xfId="0" applyFont="1" applyFill="1" applyAlignment="1"/>
    <xf numFmtId="0" fontId="7" fillId="0" borderId="0" xfId="0" applyFont="1" applyAlignment="1">
      <alignment horizontal="right"/>
    </xf>
    <xf numFmtId="0" fontId="6" fillId="0" borderId="0" xfId="0" applyFont="1" applyFill="1"/>
    <xf numFmtId="0" fontId="5" fillId="0" borderId="0" xfId="0" applyFont="1" applyFill="1"/>
    <xf numFmtId="0" fontId="11" fillId="0" borderId="1" xfId="0" applyFont="1" applyFill="1" applyBorder="1" applyAlignment="1">
      <alignment horizontal="center"/>
    </xf>
    <xf numFmtId="1" fontId="12" fillId="0" borderId="0" xfId="0" applyNumberFormat="1" applyFont="1" applyFill="1"/>
    <xf numFmtId="1" fontId="13" fillId="0" borderId="2" xfId="0" applyNumberFormat="1" applyFont="1" applyFill="1" applyBorder="1"/>
    <xf numFmtId="9" fontId="12" fillId="0" borderId="1" xfId="0" applyNumberFormat="1" applyFont="1" applyFill="1" applyBorder="1"/>
    <xf numFmtId="2" fontId="12" fillId="0" borderId="1" xfId="0" applyNumberFormat="1" applyFont="1" applyFill="1" applyBorder="1" applyAlignment="1"/>
    <xf numFmtId="2" fontId="13" fillId="0" borderId="2" xfId="0" applyNumberFormat="1" applyFont="1" applyFill="1" applyBorder="1" applyAlignment="1"/>
    <xf numFmtId="2" fontId="13" fillId="0" borderId="1" xfId="0" applyNumberFormat="1" applyFont="1" applyFill="1" applyBorder="1" applyAlignment="1"/>
    <xf numFmtId="0" fontId="12" fillId="0" borderId="0" xfId="0" applyFont="1" applyFill="1"/>
    <xf numFmtId="0" fontId="0" fillId="0" borderId="0" xfId="0" applyFill="1"/>
    <xf numFmtId="0" fontId="6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1" fillId="0" borderId="1" xfId="0" applyFont="1" applyFill="1" applyBorder="1" applyAlignment="1">
      <alignment horizontal="center" vertical="center" textRotation="90" wrapText="1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" fontId="12" fillId="0" borderId="2" xfId="0" applyNumberFormat="1" applyFont="1" applyFill="1" applyBorder="1"/>
    <xf numFmtId="4" fontId="6" fillId="0" borderId="0" xfId="0" applyNumberFormat="1" applyFont="1"/>
    <xf numFmtId="4" fontId="10" fillId="0" borderId="0" xfId="0" applyNumberFormat="1" applyFont="1" applyFill="1" applyAlignment="1"/>
    <xf numFmtId="4" fontId="11" fillId="0" borderId="0" xfId="0" applyNumberFormat="1" applyFont="1" applyFill="1" applyAlignment="1"/>
    <xf numFmtId="4" fontId="11" fillId="0" borderId="0" xfId="0" applyNumberFormat="1" applyFont="1" applyFill="1" applyAlignment="1">
      <alignment horizontal="right"/>
    </xf>
    <xf numFmtId="4" fontId="8" fillId="0" borderId="0" xfId="0" applyNumberFormat="1" applyFont="1" applyFill="1"/>
    <xf numFmtId="4" fontId="7" fillId="0" borderId="0" xfId="0" applyNumberFormat="1" applyFont="1" applyAlignment="1">
      <alignment horizontal="right"/>
    </xf>
    <xf numFmtId="4" fontId="3" fillId="0" borderId="0" xfId="0" applyNumberFormat="1" applyFont="1"/>
    <xf numFmtId="4" fontId="14" fillId="0" borderId="1" xfId="0" applyNumberFormat="1" applyFont="1" applyFill="1" applyBorder="1"/>
    <xf numFmtId="4" fontId="12" fillId="0" borderId="0" xfId="0" applyNumberFormat="1" applyFont="1"/>
    <xf numFmtId="4" fontId="11" fillId="0" borderId="0" xfId="0" applyNumberFormat="1" applyFont="1"/>
    <xf numFmtId="4" fontId="0" fillId="0" borderId="0" xfId="0" applyNumberFormat="1"/>
    <xf numFmtId="4" fontId="15" fillId="0" borderId="1" xfId="0" applyNumberFormat="1" applyFont="1" applyFill="1" applyBorder="1"/>
    <xf numFmtId="0" fontId="1" fillId="0" borderId="0" xfId="0" applyFont="1" applyFill="1"/>
    <xf numFmtId="4" fontId="11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/>
    <xf numFmtId="0" fontId="11" fillId="0" borderId="1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/>
    </xf>
    <xf numFmtId="4" fontId="11" fillId="0" borderId="1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4" fontId="10" fillId="0" borderId="2" xfId="0" applyNumberFormat="1" applyFont="1" applyFill="1" applyBorder="1" applyAlignment="1">
      <alignment horizontal="left"/>
    </xf>
    <xf numFmtId="4" fontId="10" fillId="0" borderId="4" xfId="0" applyNumberFormat="1" applyFont="1" applyFill="1" applyBorder="1" applyAlignment="1">
      <alignment horizontal="left"/>
    </xf>
    <xf numFmtId="0" fontId="12" fillId="0" borderId="1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wrapText="1"/>
    </xf>
    <xf numFmtId="4" fontId="12" fillId="0" borderId="1" xfId="0" applyNumberFormat="1" applyFont="1" applyFill="1" applyBorder="1"/>
    <xf numFmtId="2" fontId="5" fillId="0" borderId="0" xfId="0" applyNumberFormat="1" applyFont="1" applyFill="1"/>
    <xf numFmtId="9" fontId="12" fillId="0" borderId="1" xfId="0" applyNumberFormat="1" applyFont="1" applyFill="1" applyBorder="1" applyAlignment="1">
      <alignment horizontal="center" wrapText="1"/>
    </xf>
    <xf numFmtId="9" fontId="12" fillId="0" borderId="2" xfId="0" applyNumberFormat="1" applyFont="1" applyFill="1" applyBorder="1"/>
    <xf numFmtId="0" fontId="12" fillId="0" borderId="1" xfId="0" applyFont="1" applyFill="1" applyBorder="1" applyAlignment="1">
      <alignment horizontal="center"/>
    </xf>
    <xf numFmtId="2" fontId="12" fillId="0" borderId="3" xfId="0" applyNumberFormat="1" applyFont="1" applyFill="1" applyBorder="1"/>
    <xf numFmtId="0" fontId="12" fillId="0" borderId="3" xfId="0" applyFont="1" applyFill="1" applyBorder="1" applyAlignment="1">
      <alignment horizontal="center"/>
    </xf>
    <xf numFmtId="9" fontId="12" fillId="0" borderId="0" xfId="0" applyNumberFormat="1" applyFont="1" applyFill="1" applyBorder="1"/>
    <xf numFmtId="0" fontId="13" fillId="0" borderId="1" xfId="0" applyFont="1" applyFill="1" applyBorder="1" applyAlignment="1">
      <alignment horizontal="center"/>
    </xf>
    <xf numFmtId="4" fontId="13" fillId="0" borderId="1" xfId="0" applyNumberFormat="1" applyFont="1" applyFill="1" applyBorder="1"/>
    <xf numFmtId="9" fontId="12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wrapText="1"/>
    </xf>
    <xf numFmtId="4" fontId="12" fillId="0" borderId="2" xfId="0" applyNumberFormat="1" applyFont="1" applyFill="1" applyBorder="1"/>
    <xf numFmtId="0" fontId="13" fillId="0" borderId="1" xfId="0" applyFont="1" applyFill="1" applyBorder="1" applyAlignment="1">
      <alignment horizontal="left" vertical="center" wrapText="1"/>
    </xf>
    <xf numFmtId="9" fontId="13" fillId="0" borderId="2" xfId="0" applyNumberFormat="1" applyFont="1" applyFill="1" applyBorder="1"/>
    <xf numFmtId="9" fontId="12" fillId="0" borderId="1" xfId="0" applyNumberFormat="1" applyFont="1" applyFill="1" applyBorder="1" applyAlignment="1">
      <alignment horizontal="center"/>
    </xf>
    <xf numFmtId="0" fontId="13" fillId="0" borderId="1" xfId="0" applyFont="1" applyFill="1" applyBorder="1" applyAlignment="1">
      <alignment horizontal="left"/>
    </xf>
    <xf numFmtId="0" fontId="12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wrapText="1"/>
    </xf>
    <xf numFmtId="9" fontId="12" fillId="0" borderId="4" xfId="0" applyNumberFormat="1" applyFont="1" applyFill="1" applyBorder="1"/>
    <xf numFmtId="49" fontId="12" fillId="0" borderId="1" xfId="0" applyNumberFormat="1" applyFont="1" applyFill="1" applyBorder="1" applyAlignment="1">
      <alignment horizontal="center" vertical="center"/>
    </xf>
    <xf numFmtId="2" fontId="13" fillId="0" borderId="4" xfId="0" applyNumberFormat="1" applyFont="1" applyFill="1" applyBorder="1" applyAlignment="1">
      <alignment wrapText="1"/>
    </xf>
    <xf numFmtId="0" fontId="12" fillId="0" borderId="1" xfId="0" applyNumberFormat="1" applyFont="1" applyFill="1" applyBorder="1" applyAlignment="1">
      <alignment horizontal="center" vertical="center"/>
    </xf>
    <xf numFmtId="2" fontId="12" fillId="0" borderId="4" xfId="0" applyNumberFormat="1" applyFont="1" applyFill="1" applyBorder="1" applyAlignment="1">
      <alignment wrapText="1"/>
    </xf>
    <xf numFmtId="0" fontId="12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wrapText="1"/>
    </xf>
    <xf numFmtId="0" fontId="11" fillId="0" borderId="1" xfId="0" applyFont="1" applyFill="1" applyBorder="1" applyAlignment="1">
      <alignment horizontal="left" wrapText="1"/>
    </xf>
    <xf numFmtId="0" fontId="12" fillId="0" borderId="5" xfId="0" applyFont="1" applyFill="1" applyBorder="1" applyAlignment="1">
      <alignment horizontal="center" vertical="center"/>
    </xf>
    <xf numFmtId="0" fontId="12" fillId="0" borderId="5" xfId="0" applyNumberFormat="1" applyFont="1" applyFill="1" applyBorder="1" applyAlignment="1">
      <alignment horizontal="left" vertical="center" wrapText="1"/>
    </xf>
    <xf numFmtId="4" fontId="13" fillId="0" borderId="2" xfId="0" applyNumberFormat="1" applyFont="1" applyFill="1" applyBorder="1"/>
    <xf numFmtId="1" fontId="13" fillId="0" borderId="1" xfId="0" applyNumberFormat="1" applyFont="1" applyFill="1" applyBorder="1"/>
    <xf numFmtId="9" fontId="13" fillId="0" borderId="1" xfId="0" applyNumberFormat="1" applyFont="1" applyFill="1" applyBorder="1"/>
    <xf numFmtId="1" fontId="12" fillId="0" borderId="4" xfId="0" applyNumberFormat="1" applyFont="1" applyFill="1" applyBorder="1"/>
    <xf numFmtId="0" fontId="13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2" fontId="12" fillId="0" borderId="5" xfId="0" applyNumberFormat="1" applyFont="1" applyFill="1" applyBorder="1"/>
    <xf numFmtId="4" fontId="12" fillId="0" borderId="6" xfId="0" applyNumberFormat="1" applyFont="1" applyFill="1" applyBorder="1"/>
    <xf numFmtId="4" fontId="12" fillId="0" borderId="7" xfId="0" applyNumberFormat="1" applyFont="1" applyFill="1" applyBorder="1"/>
    <xf numFmtId="2" fontId="12" fillId="0" borderId="5" xfId="0" applyNumberFormat="1" applyFont="1" applyFill="1" applyBorder="1" applyAlignment="1"/>
    <xf numFmtId="4" fontId="12" fillId="0" borderId="3" xfId="0" applyNumberFormat="1" applyFont="1" applyFill="1" applyBorder="1"/>
    <xf numFmtId="4" fontId="12" fillId="0" borderId="4" xfId="0" applyNumberFormat="1" applyFont="1" applyFill="1" applyBorder="1"/>
    <xf numFmtId="0" fontId="11" fillId="0" borderId="2" xfId="0" applyFont="1" applyFill="1" applyBorder="1" applyAlignment="1">
      <alignment wrapText="1"/>
    </xf>
    <xf numFmtId="16" fontId="12" fillId="0" borderId="1" xfId="0" applyNumberFormat="1" applyFont="1" applyFill="1" applyBorder="1" applyAlignment="1">
      <alignment horizontal="center" vertical="center"/>
    </xf>
    <xf numFmtId="4" fontId="15" fillId="0" borderId="1" xfId="0" applyNumberFormat="1" applyFont="1" applyFill="1" applyBorder="1" applyAlignment="1">
      <alignment horizontal="right"/>
    </xf>
    <xf numFmtId="0" fontId="13" fillId="0" borderId="5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left"/>
    </xf>
    <xf numFmtId="2" fontId="12" fillId="0" borderId="4" xfId="0" applyNumberFormat="1" applyFont="1" applyFill="1" applyBorder="1"/>
    <xf numFmtId="2" fontId="12" fillId="0" borderId="0" xfId="0" applyNumberFormat="1" applyFont="1" applyFill="1" applyBorder="1"/>
    <xf numFmtId="2" fontId="12" fillId="0" borderId="2" xfId="0" applyNumberFormat="1" applyFont="1" applyFill="1" applyBorder="1" applyAlignment="1">
      <alignment wrapText="1"/>
    </xf>
    <xf numFmtId="0" fontId="12" fillId="0" borderId="5" xfId="0" applyFont="1" applyFill="1" applyBorder="1" applyAlignment="1">
      <alignment horizontal="left" vertical="center" wrapText="1"/>
    </xf>
    <xf numFmtId="2" fontId="13" fillId="0" borderId="6" xfId="0" applyNumberFormat="1" applyFont="1" applyFill="1" applyBorder="1" applyAlignment="1"/>
    <xf numFmtId="2" fontId="12" fillId="0" borderId="8" xfId="0" applyNumberFormat="1" applyFont="1" applyFill="1" applyBorder="1" applyAlignment="1"/>
    <xf numFmtId="2" fontId="11" fillId="0" borderId="1" xfId="0" applyNumberFormat="1" applyFont="1" applyFill="1" applyBorder="1" applyAlignment="1">
      <alignment wrapText="1"/>
    </xf>
    <xf numFmtId="0" fontId="12" fillId="0" borderId="5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wrapText="1"/>
    </xf>
    <xf numFmtId="4" fontId="13" fillId="0" borderId="4" xfId="0" applyNumberFormat="1" applyFont="1" applyFill="1" applyBorder="1"/>
    <xf numFmtId="0" fontId="12" fillId="0" borderId="5" xfId="0" applyFont="1" applyFill="1" applyBorder="1" applyAlignment="1">
      <alignment horizontal="left" vertical="center" wrapText="1"/>
    </xf>
    <xf numFmtId="2" fontId="12" fillId="0" borderId="5" xfId="0" applyNumberFormat="1" applyFont="1" applyFill="1" applyBorder="1" applyAlignment="1">
      <alignment horizontal="left" vertical="center" wrapText="1"/>
    </xf>
    <xf numFmtId="0" fontId="13" fillId="0" borderId="5" xfId="0" applyFont="1" applyFill="1" applyBorder="1" applyAlignment="1">
      <alignment horizontal="left" wrapText="1"/>
    </xf>
    <xf numFmtId="2" fontId="12" fillId="0" borderId="5" xfId="0" applyNumberFormat="1" applyFont="1" applyFill="1" applyBorder="1" applyAlignment="1">
      <alignment horizontal="left" vertical="center" wrapText="1"/>
    </xf>
    <xf numFmtId="49" fontId="13" fillId="0" borderId="1" xfId="0" applyNumberFormat="1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wrapText="1"/>
    </xf>
    <xf numFmtId="0" fontId="11" fillId="0" borderId="1" xfId="0" applyFont="1" applyFill="1" applyBorder="1" applyAlignment="1">
      <alignment horizontal="center" wrapText="1"/>
    </xf>
    <xf numFmtId="2" fontId="11" fillId="0" borderId="2" xfId="0" applyNumberFormat="1" applyFont="1" applyFill="1" applyBorder="1" applyAlignment="1">
      <alignment wrapText="1"/>
    </xf>
    <xf numFmtId="2" fontId="10" fillId="0" borderId="2" xfId="0" applyNumberFormat="1" applyFont="1" applyFill="1" applyBorder="1" applyAlignment="1">
      <alignment wrapText="1"/>
    </xf>
    <xf numFmtId="2" fontId="10" fillId="0" borderId="1" xfId="0" applyNumberFormat="1" applyFont="1" applyFill="1" applyBorder="1" applyAlignment="1">
      <alignment wrapText="1"/>
    </xf>
    <xf numFmtId="4" fontId="10" fillId="0" borderId="1" xfId="0" applyNumberFormat="1" applyFont="1" applyFill="1" applyBorder="1" applyAlignment="1">
      <alignment wrapText="1"/>
    </xf>
    <xf numFmtId="4" fontId="13" fillId="0" borderId="4" xfId="0" applyNumberFormat="1" applyFont="1" applyFill="1" applyBorder="1" applyAlignment="1">
      <alignment wrapText="1"/>
    </xf>
    <xf numFmtId="0" fontId="13" fillId="0" borderId="5" xfId="0" applyFont="1" applyFill="1" applyBorder="1" applyAlignment="1">
      <alignment horizontal="left" vertical="center" wrapText="1"/>
    </xf>
    <xf numFmtId="0" fontId="12" fillId="0" borderId="5" xfId="0" applyFont="1" applyFill="1" applyBorder="1" applyAlignment="1">
      <alignment horizontal="left" vertical="center" wrapText="1"/>
    </xf>
    <xf numFmtId="0" fontId="12" fillId="0" borderId="5" xfId="0" applyFont="1" applyFill="1" applyBorder="1" applyAlignment="1">
      <alignment horizontal="left" vertical="center" wrapText="1"/>
    </xf>
    <xf numFmtId="164" fontId="11" fillId="0" borderId="0" xfId="0" applyNumberFormat="1" applyFont="1" applyFill="1" applyAlignment="1">
      <alignment horizontal="left"/>
    </xf>
    <xf numFmtId="0" fontId="9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3" fillId="0" borderId="5" xfId="0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horizontal="left" vertical="center" wrapText="1"/>
    </xf>
    <xf numFmtId="0" fontId="13" fillId="0" borderId="4" xfId="0" applyFont="1" applyFill="1" applyBorder="1" applyAlignment="1">
      <alignment horizontal="left" vertical="center" wrapText="1"/>
    </xf>
    <xf numFmtId="0" fontId="13" fillId="0" borderId="5" xfId="0" applyFont="1" applyFill="1" applyBorder="1" applyAlignment="1">
      <alignment horizontal="left" vertical="center"/>
    </xf>
    <xf numFmtId="0" fontId="13" fillId="0" borderId="2" xfId="0" applyFont="1" applyFill="1" applyBorder="1" applyAlignment="1">
      <alignment horizontal="left" vertical="center"/>
    </xf>
    <xf numFmtId="0" fontId="13" fillId="0" borderId="4" xfId="0" applyFont="1" applyFill="1" applyBorder="1" applyAlignment="1">
      <alignment horizontal="left" vertical="center"/>
    </xf>
    <xf numFmtId="0" fontId="13" fillId="0" borderId="5" xfId="0" applyFont="1" applyFill="1" applyBorder="1" applyAlignment="1">
      <alignment horizontal="left" wrapText="1"/>
    </xf>
    <xf numFmtId="0" fontId="13" fillId="0" borderId="2" xfId="0" applyFont="1" applyFill="1" applyBorder="1" applyAlignment="1">
      <alignment horizontal="left" wrapText="1"/>
    </xf>
    <xf numFmtId="0" fontId="13" fillId="0" borderId="4" xfId="0" applyFont="1" applyFill="1" applyBorder="1" applyAlignment="1">
      <alignment horizontal="left" wrapText="1"/>
    </xf>
    <xf numFmtId="0" fontId="11" fillId="0" borderId="1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horizontal="left" vertical="center" wrapText="1"/>
    </xf>
    <xf numFmtId="49" fontId="13" fillId="0" borderId="5" xfId="0" applyNumberFormat="1" applyFont="1" applyFill="1" applyBorder="1" applyAlignment="1">
      <alignment horizontal="left" vertical="center"/>
    </xf>
    <xf numFmtId="49" fontId="13" fillId="0" borderId="2" xfId="0" applyNumberFormat="1" applyFont="1" applyFill="1" applyBorder="1" applyAlignment="1">
      <alignment horizontal="left" vertical="center"/>
    </xf>
    <xf numFmtId="49" fontId="13" fillId="0" borderId="4" xfId="0" applyNumberFormat="1" applyFont="1" applyFill="1" applyBorder="1" applyAlignment="1">
      <alignment horizontal="left" vertical="center"/>
    </xf>
    <xf numFmtId="0" fontId="10" fillId="0" borderId="5" xfId="0" applyFont="1" applyFill="1" applyBorder="1" applyAlignment="1">
      <alignment horizontal="left"/>
    </xf>
    <xf numFmtId="0" fontId="10" fillId="0" borderId="2" xfId="0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12"/>
  <sheetViews>
    <sheetView tabSelected="1" topLeftCell="A49" zoomScale="45" zoomScaleNormal="45" zoomScaleSheetLayoutView="41" workbookViewId="0">
      <selection activeCell="D175" sqref="D175"/>
    </sheetView>
  </sheetViews>
  <sheetFormatPr defaultRowHeight="12.75" x14ac:dyDescent="0.2"/>
  <cols>
    <col min="1" max="1" width="12.85546875" style="51" customWidth="1"/>
    <col min="2" max="2" width="95.5703125" style="42" customWidth="1"/>
    <col min="3" max="3" width="10" customWidth="1"/>
    <col min="4" max="4" width="19.28515625" customWidth="1"/>
    <col min="5" max="5" width="31.28515625" style="33" customWidth="1"/>
    <col min="6" max="6" width="11.5703125" style="33" customWidth="1"/>
    <col min="7" max="7" width="26" style="33" customWidth="1"/>
    <col min="8" max="8" width="12" customWidth="1"/>
    <col min="9" max="9" width="25.7109375" customWidth="1"/>
    <col min="10" max="10" width="12.85546875" customWidth="1"/>
    <col min="11" max="11" width="22.42578125" customWidth="1"/>
    <col min="12" max="12" width="12.42578125" customWidth="1"/>
    <col min="13" max="13" width="22.5703125" customWidth="1"/>
    <col min="14" max="14" width="29.140625" style="63" customWidth="1"/>
    <col min="15" max="15" width="32.5703125" style="63" customWidth="1"/>
    <col min="16" max="16" width="2.5703125" customWidth="1"/>
  </cols>
  <sheetData>
    <row r="1" spans="1:19" ht="30" x14ac:dyDescent="0.4">
      <c r="A1" s="46"/>
      <c r="B1" s="34"/>
      <c r="C1" s="5"/>
      <c r="D1" s="5"/>
      <c r="E1" s="23"/>
      <c r="F1" s="23"/>
      <c r="G1" s="23"/>
      <c r="H1" s="5"/>
      <c r="I1" s="5"/>
      <c r="J1" s="5"/>
      <c r="K1" s="5"/>
      <c r="L1" s="5"/>
      <c r="M1" s="5"/>
      <c r="N1" s="53"/>
      <c r="O1" s="53"/>
      <c r="P1" s="2"/>
      <c r="Q1" s="2"/>
      <c r="R1" s="2"/>
      <c r="S1" s="2"/>
    </row>
    <row r="2" spans="1:19" ht="35.25" x14ac:dyDescent="0.5">
      <c r="A2" s="46"/>
      <c r="B2" s="34"/>
      <c r="C2" s="5"/>
      <c r="D2" s="5"/>
      <c r="E2" s="23"/>
      <c r="F2" s="23"/>
      <c r="G2" s="23"/>
      <c r="H2" s="5"/>
      <c r="I2" s="5"/>
      <c r="J2" s="10" t="s">
        <v>59</v>
      </c>
      <c r="K2" s="10"/>
      <c r="L2" s="11"/>
      <c r="M2" s="11"/>
      <c r="N2" s="54"/>
      <c r="O2" s="54"/>
      <c r="P2" s="2"/>
      <c r="Q2" s="2"/>
      <c r="R2" s="2"/>
      <c r="S2" s="2"/>
    </row>
    <row r="3" spans="1:19" ht="34.5" x14ac:dyDescent="0.45">
      <c r="A3" s="47"/>
      <c r="B3" s="35"/>
      <c r="C3" s="6"/>
      <c r="D3" s="6"/>
      <c r="E3" s="9"/>
      <c r="F3" s="9"/>
      <c r="G3" s="9"/>
      <c r="H3" s="6"/>
      <c r="I3" s="6"/>
      <c r="J3" s="12" t="s">
        <v>140</v>
      </c>
      <c r="K3" s="12"/>
      <c r="L3" s="21"/>
      <c r="M3" s="21"/>
      <c r="N3" s="55"/>
      <c r="O3" s="55"/>
      <c r="P3" s="2"/>
      <c r="Q3" s="2"/>
      <c r="R3" s="2"/>
      <c r="S3" s="2"/>
    </row>
    <row r="4" spans="1:19" ht="35.25" x14ac:dyDescent="0.5">
      <c r="A4" s="47"/>
      <c r="B4" s="35"/>
      <c r="C4" s="7"/>
      <c r="D4" s="6"/>
      <c r="E4" s="9"/>
      <c r="F4" s="9"/>
      <c r="G4" s="9"/>
      <c r="H4" s="6"/>
      <c r="I4" s="6"/>
      <c r="J4" s="12" t="s">
        <v>141</v>
      </c>
      <c r="K4" s="12"/>
      <c r="L4" s="21"/>
      <c r="M4" s="21"/>
      <c r="N4" s="55"/>
      <c r="O4" s="55"/>
      <c r="P4" s="2"/>
      <c r="Q4" s="2"/>
      <c r="R4" s="2"/>
      <c r="S4" s="2"/>
    </row>
    <row r="5" spans="1:19" ht="50.25" customHeight="1" x14ac:dyDescent="0.45">
      <c r="A5" s="47"/>
      <c r="B5" s="151" t="s">
        <v>123</v>
      </c>
      <c r="C5" s="151"/>
      <c r="D5" s="151"/>
      <c r="E5" s="9"/>
      <c r="F5" s="9"/>
      <c r="G5" s="9"/>
      <c r="H5" s="6"/>
      <c r="I5" s="6"/>
      <c r="J5" s="12" t="s">
        <v>145</v>
      </c>
      <c r="K5" s="12"/>
      <c r="L5" s="21"/>
      <c r="M5" s="21"/>
      <c r="N5" s="55"/>
      <c r="O5" s="55"/>
      <c r="P5" s="2"/>
      <c r="Q5" s="2"/>
      <c r="R5" s="2"/>
      <c r="S5" s="2"/>
    </row>
    <row r="6" spans="1:19" ht="35.25" x14ac:dyDescent="0.5">
      <c r="A6" s="47"/>
      <c r="B6" s="36"/>
      <c r="C6" s="8"/>
      <c r="D6" s="6"/>
      <c r="E6" s="9" t="s">
        <v>61</v>
      </c>
      <c r="F6" s="9"/>
      <c r="G6" s="9"/>
      <c r="H6" s="6"/>
      <c r="I6" s="6"/>
      <c r="J6" s="150" t="s">
        <v>144</v>
      </c>
      <c r="K6" s="20"/>
      <c r="L6" s="20"/>
      <c r="M6" s="20"/>
      <c r="O6" s="56"/>
      <c r="P6" s="2"/>
      <c r="Q6" s="2"/>
      <c r="R6" s="2"/>
      <c r="S6" s="2"/>
    </row>
    <row r="7" spans="1:19" ht="70.5" customHeight="1" x14ac:dyDescent="0.45">
      <c r="A7" s="47"/>
      <c r="B7" s="152" t="s">
        <v>122</v>
      </c>
      <c r="C7" s="152"/>
      <c r="D7" s="152"/>
      <c r="E7" s="9"/>
      <c r="F7" s="9"/>
      <c r="G7" s="9"/>
      <c r="H7" s="6"/>
      <c r="I7" s="6"/>
      <c r="J7" s="12"/>
      <c r="K7" s="12"/>
      <c r="L7" s="21" t="s">
        <v>142</v>
      </c>
      <c r="M7" s="21"/>
      <c r="N7" s="55"/>
      <c r="O7" s="55"/>
      <c r="P7" s="2"/>
      <c r="Q7" s="2"/>
      <c r="R7" s="2"/>
      <c r="S7" s="2"/>
    </row>
    <row r="8" spans="1:19" ht="33.75" x14ac:dyDescent="0.5">
      <c r="A8" s="47"/>
      <c r="B8" s="37"/>
      <c r="C8" s="7"/>
      <c r="D8" s="6"/>
      <c r="E8" s="9"/>
      <c r="F8" s="9"/>
      <c r="G8" s="9"/>
      <c r="H8" s="6"/>
      <c r="I8" s="6"/>
      <c r="J8" s="9"/>
      <c r="K8" s="9"/>
      <c r="L8" s="9"/>
      <c r="M8" s="9"/>
      <c r="N8" s="57"/>
      <c r="O8" s="57"/>
      <c r="P8" s="2"/>
      <c r="Q8" s="2"/>
      <c r="R8" s="2"/>
      <c r="S8" s="2"/>
    </row>
    <row r="9" spans="1:19" ht="70.5" customHeight="1" x14ac:dyDescent="0.5">
      <c r="A9" s="47"/>
      <c r="B9" s="152" t="s">
        <v>33</v>
      </c>
      <c r="C9" s="152"/>
      <c r="D9" s="152"/>
      <c r="E9" s="152"/>
      <c r="F9" s="152"/>
      <c r="G9" s="152"/>
      <c r="H9" s="13"/>
      <c r="I9" s="13"/>
      <c r="J9" s="8"/>
      <c r="K9" s="7"/>
      <c r="L9" s="22"/>
      <c r="M9" s="22"/>
      <c r="N9" s="58"/>
      <c r="O9" s="58"/>
      <c r="P9" s="2"/>
      <c r="Q9" s="2"/>
      <c r="R9" s="2"/>
      <c r="S9" s="2"/>
    </row>
    <row r="10" spans="1:19" ht="35.25" x14ac:dyDescent="0.5">
      <c r="A10" s="47"/>
      <c r="B10" s="36"/>
      <c r="C10" s="8"/>
      <c r="D10" s="13"/>
      <c r="E10" s="12"/>
      <c r="F10" s="12"/>
      <c r="G10" s="12"/>
      <c r="H10" s="13"/>
      <c r="I10" s="13"/>
      <c r="J10" s="8"/>
      <c r="K10" s="7"/>
      <c r="L10" s="22"/>
      <c r="M10" s="22"/>
      <c r="N10" s="58"/>
      <c r="O10" s="58"/>
      <c r="P10" s="2"/>
      <c r="Q10" s="2"/>
      <c r="R10" s="2"/>
      <c r="S10" s="2"/>
    </row>
    <row r="11" spans="1:19" ht="12.75" customHeight="1" x14ac:dyDescent="0.4">
      <c r="A11" s="48"/>
      <c r="B11" s="38"/>
      <c r="C11" s="3"/>
      <c r="D11" s="4"/>
      <c r="E11" s="24"/>
      <c r="F11" s="24"/>
      <c r="G11" s="24"/>
      <c r="H11" s="4"/>
      <c r="I11" s="4"/>
      <c r="J11" s="3"/>
      <c r="K11" s="3"/>
      <c r="L11" s="3"/>
      <c r="M11" s="3"/>
      <c r="N11" s="59"/>
      <c r="O11" s="59"/>
      <c r="P11" s="2"/>
      <c r="Q11" s="2"/>
      <c r="R11" s="2"/>
      <c r="S11" s="2"/>
    </row>
    <row r="12" spans="1:19" ht="409.5" customHeight="1" x14ac:dyDescent="0.35">
      <c r="A12" s="123" t="s">
        <v>0</v>
      </c>
      <c r="B12" s="123" t="s">
        <v>16</v>
      </c>
      <c r="C12" s="45" t="s">
        <v>12</v>
      </c>
      <c r="D12" s="45" t="s">
        <v>17</v>
      </c>
      <c r="E12" s="45" t="s">
        <v>1</v>
      </c>
      <c r="F12" s="162" t="s">
        <v>18</v>
      </c>
      <c r="G12" s="162"/>
      <c r="H12" s="162" t="s">
        <v>21</v>
      </c>
      <c r="I12" s="162"/>
      <c r="J12" s="162" t="s">
        <v>36</v>
      </c>
      <c r="K12" s="162"/>
      <c r="L12" s="162" t="s">
        <v>15</v>
      </c>
      <c r="M12" s="162"/>
      <c r="N12" s="66" t="s">
        <v>19</v>
      </c>
      <c r="O12" s="66" t="s">
        <v>20</v>
      </c>
      <c r="P12" s="67"/>
      <c r="Q12" s="2"/>
      <c r="R12" s="2"/>
      <c r="S12" s="2"/>
    </row>
    <row r="13" spans="1:19" ht="58.5" customHeight="1" x14ac:dyDescent="0.35">
      <c r="A13" s="123"/>
      <c r="B13" s="123"/>
      <c r="C13" s="45"/>
      <c r="D13" s="45"/>
      <c r="E13" s="45"/>
      <c r="F13" s="123" t="s">
        <v>13</v>
      </c>
      <c r="G13" s="123" t="s">
        <v>14</v>
      </c>
      <c r="H13" s="123" t="s">
        <v>13</v>
      </c>
      <c r="I13" s="123" t="s">
        <v>14</v>
      </c>
      <c r="J13" s="123" t="s">
        <v>13</v>
      </c>
      <c r="K13" s="123" t="s">
        <v>14</v>
      </c>
      <c r="L13" s="123" t="s">
        <v>13</v>
      </c>
      <c r="M13" s="123" t="s">
        <v>14</v>
      </c>
      <c r="N13" s="66"/>
      <c r="O13" s="66"/>
      <c r="P13" s="67"/>
      <c r="Q13" s="2"/>
      <c r="R13" s="2"/>
      <c r="S13" s="2"/>
    </row>
    <row r="14" spans="1:19" s="44" customFormat="1" ht="40.5" customHeight="1" x14ac:dyDescent="0.45">
      <c r="A14" s="68">
        <v>1</v>
      </c>
      <c r="B14" s="69">
        <v>2</v>
      </c>
      <c r="C14" s="25">
        <v>3</v>
      </c>
      <c r="D14" s="70">
        <v>4</v>
      </c>
      <c r="E14" s="25">
        <v>5</v>
      </c>
      <c r="F14" s="25">
        <v>6</v>
      </c>
      <c r="G14" s="25">
        <v>7</v>
      </c>
      <c r="H14" s="25">
        <v>8</v>
      </c>
      <c r="I14" s="25">
        <v>9</v>
      </c>
      <c r="J14" s="25">
        <v>10</v>
      </c>
      <c r="K14" s="25">
        <v>11</v>
      </c>
      <c r="L14" s="70">
        <v>12</v>
      </c>
      <c r="M14" s="25">
        <v>13</v>
      </c>
      <c r="N14" s="71">
        <v>14</v>
      </c>
      <c r="O14" s="71">
        <v>15</v>
      </c>
      <c r="P14" s="72"/>
      <c r="Q14" s="43"/>
      <c r="R14" s="43"/>
      <c r="S14" s="43"/>
    </row>
    <row r="15" spans="1:19" s="1" customFormat="1" ht="42.75" customHeight="1" x14ac:dyDescent="0.5">
      <c r="A15" s="169" t="s">
        <v>22</v>
      </c>
      <c r="B15" s="170"/>
      <c r="C15" s="124"/>
      <c r="D15" s="124"/>
      <c r="E15" s="124"/>
      <c r="F15" s="124"/>
      <c r="G15" s="124"/>
      <c r="H15" s="124"/>
      <c r="I15" s="124"/>
      <c r="J15" s="124"/>
      <c r="K15" s="124"/>
      <c r="L15" s="124"/>
      <c r="M15" s="124"/>
      <c r="N15" s="73"/>
      <c r="O15" s="74"/>
      <c r="P15" s="67"/>
      <c r="Q15" s="2"/>
      <c r="R15" s="2"/>
      <c r="S15" s="2"/>
    </row>
    <row r="16" spans="1:19" s="1" customFormat="1" ht="43.5" customHeight="1" x14ac:dyDescent="0.35">
      <c r="A16" s="163" t="s">
        <v>129</v>
      </c>
      <c r="B16" s="164"/>
      <c r="C16" s="164"/>
      <c r="D16" s="164"/>
      <c r="E16" s="164"/>
      <c r="F16" s="164"/>
      <c r="G16" s="164"/>
      <c r="H16" s="164"/>
      <c r="I16" s="164"/>
      <c r="J16" s="164"/>
      <c r="K16" s="164"/>
      <c r="L16" s="164"/>
      <c r="M16" s="164"/>
      <c r="N16" s="164"/>
      <c r="O16" s="165"/>
      <c r="P16" s="67"/>
      <c r="Q16" s="2"/>
      <c r="R16" s="2"/>
      <c r="S16" s="2"/>
    </row>
    <row r="17" spans="1:19" s="1" customFormat="1" ht="35.1" customHeight="1" x14ac:dyDescent="0.45">
      <c r="A17" s="75">
        <v>1</v>
      </c>
      <c r="B17" s="76" t="s">
        <v>34</v>
      </c>
      <c r="C17" s="77">
        <v>16</v>
      </c>
      <c r="D17" s="14">
        <v>1</v>
      </c>
      <c r="E17" s="15">
        <f>ROUND(852*2.79,0)</f>
        <v>2377</v>
      </c>
      <c r="F17" s="26">
        <v>30</v>
      </c>
      <c r="G17" s="15">
        <f>D17*E17*F17/100</f>
        <v>713.1</v>
      </c>
      <c r="H17" s="19">
        <v>15</v>
      </c>
      <c r="I17" s="15">
        <f>E17*H17/100</f>
        <v>356.55</v>
      </c>
      <c r="J17" s="19">
        <v>20</v>
      </c>
      <c r="K17" s="15">
        <f>D17*E17*J17/100</f>
        <v>475.4</v>
      </c>
      <c r="L17" s="52">
        <v>10</v>
      </c>
      <c r="M17" s="15">
        <f>D17*E17*L17/100</f>
        <v>237.7</v>
      </c>
      <c r="N17" s="78">
        <f>D17*E17+G17+K17+M17</f>
        <v>3803.2</v>
      </c>
      <c r="O17" s="78">
        <f>N17*12</f>
        <v>45638.400000000001</v>
      </c>
      <c r="P17" s="79">
        <v>0.3</v>
      </c>
      <c r="Q17" s="2"/>
      <c r="R17" s="2"/>
      <c r="S17" s="2"/>
    </row>
    <row r="18" spans="1:19" s="1" customFormat="1" ht="69.95" customHeight="1" x14ac:dyDescent="0.45">
      <c r="A18" s="75">
        <v>2</v>
      </c>
      <c r="B18" s="76" t="s">
        <v>26</v>
      </c>
      <c r="C18" s="80"/>
      <c r="D18" s="125">
        <v>1</v>
      </c>
      <c r="E18" s="15">
        <f>E17*0.95</f>
        <v>2258.15</v>
      </c>
      <c r="F18" s="19">
        <v>30</v>
      </c>
      <c r="G18" s="15">
        <f>D18*E18*F18/100</f>
        <v>677.45</v>
      </c>
      <c r="H18" s="15"/>
      <c r="I18" s="15"/>
      <c r="J18" s="19">
        <v>20</v>
      </c>
      <c r="K18" s="15">
        <f t="shared" ref="K18:K29" si="0">D18*E18*J18/100</f>
        <v>451.63</v>
      </c>
      <c r="L18" s="52">
        <v>10</v>
      </c>
      <c r="M18" s="15">
        <f>D18*E18*L18/100</f>
        <v>225.82</v>
      </c>
      <c r="N18" s="78">
        <f t="shared" ref="N18:N23" si="1">D18*E18+G18+K18+M18</f>
        <v>3613.05</v>
      </c>
      <c r="O18" s="78">
        <f t="shared" ref="O18:O29" si="2">N18*12</f>
        <v>43356.6</v>
      </c>
      <c r="P18" s="79">
        <v>0.3</v>
      </c>
      <c r="Q18" s="2"/>
      <c r="R18" s="2"/>
      <c r="S18" s="2"/>
    </row>
    <row r="19" spans="1:19" s="1" customFormat="1" ht="69.95" customHeight="1" x14ac:dyDescent="0.45">
      <c r="A19" s="75">
        <v>3</v>
      </c>
      <c r="B19" s="76" t="s">
        <v>28</v>
      </c>
      <c r="C19" s="80"/>
      <c r="D19" s="14">
        <v>0.5</v>
      </c>
      <c r="E19" s="15">
        <f>E17*0.85</f>
        <v>2020.45</v>
      </c>
      <c r="F19" s="19">
        <v>20</v>
      </c>
      <c r="G19" s="15">
        <f t="shared" ref="G19" si="3">D19*E19*F19/100</f>
        <v>202.05</v>
      </c>
      <c r="H19" s="15"/>
      <c r="I19" s="15"/>
      <c r="J19" s="19">
        <v>20</v>
      </c>
      <c r="K19" s="15">
        <f t="shared" si="0"/>
        <v>202.05</v>
      </c>
      <c r="L19" s="52">
        <v>10</v>
      </c>
      <c r="M19" s="15">
        <f t="shared" ref="M19:M20" si="4">D19*E19*L19/100</f>
        <v>101.02</v>
      </c>
      <c r="N19" s="78">
        <f t="shared" si="1"/>
        <v>1515.35</v>
      </c>
      <c r="O19" s="78">
        <f t="shared" si="2"/>
        <v>18184.2</v>
      </c>
      <c r="P19" s="79">
        <v>0.2</v>
      </c>
      <c r="Q19" s="2"/>
      <c r="R19" s="2"/>
      <c r="S19" s="2"/>
    </row>
    <row r="20" spans="1:19" s="1" customFormat="1" ht="69.95" customHeight="1" x14ac:dyDescent="0.45">
      <c r="A20" s="75">
        <v>4</v>
      </c>
      <c r="B20" s="76" t="s">
        <v>27</v>
      </c>
      <c r="C20" s="82"/>
      <c r="D20" s="14">
        <v>0.5</v>
      </c>
      <c r="E20" s="15">
        <f>E17*0.85</f>
        <v>2020.45</v>
      </c>
      <c r="F20" s="19">
        <v>20</v>
      </c>
      <c r="G20" s="15">
        <f t="shared" ref="G20" si="5">D20*E20*F20/100</f>
        <v>202.05</v>
      </c>
      <c r="H20" s="19"/>
      <c r="I20" s="15"/>
      <c r="J20" s="19">
        <v>20</v>
      </c>
      <c r="K20" s="15">
        <f t="shared" ref="K20" si="6">D20*E20*J20/100</f>
        <v>202.05</v>
      </c>
      <c r="L20" s="52">
        <v>10</v>
      </c>
      <c r="M20" s="15">
        <f t="shared" si="4"/>
        <v>101.02</v>
      </c>
      <c r="N20" s="78">
        <f t="shared" si="1"/>
        <v>1515.35</v>
      </c>
      <c r="O20" s="78">
        <f t="shared" si="2"/>
        <v>18184.2</v>
      </c>
      <c r="P20" s="79"/>
      <c r="Q20" s="2"/>
      <c r="R20" s="2"/>
      <c r="S20" s="2"/>
    </row>
    <row r="21" spans="1:19" s="1" customFormat="1" ht="172.5" x14ac:dyDescent="0.45">
      <c r="A21" s="75">
        <v>5</v>
      </c>
      <c r="B21" s="76" t="s">
        <v>63</v>
      </c>
      <c r="C21" s="82">
        <v>11</v>
      </c>
      <c r="D21" s="14">
        <v>1</v>
      </c>
      <c r="E21" s="15">
        <f>ROUND(852*1.97,0)</f>
        <v>1678</v>
      </c>
      <c r="F21" s="26">
        <v>30</v>
      </c>
      <c r="G21" s="15">
        <f t="shared" ref="G21:G25" si="7">E21*F21/100</f>
        <v>503.4</v>
      </c>
      <c r="H21" s="15"/>
      <c r="I21" s="15"/>
      <c r="J21" s="19">
        <v>20</v>
      </c>
      <c r="K21" s="15">
        <f t="shared" si="0"/>
        <v>335.6</v>
      </c>
      <c r="L21" s="81"/>
      <c r="M21" s="15"/>
      <c r="N21" s="78">
        <f t="shared" si="1"/>
        <v>2517</v>
      </c>
      <c r="O21" s="78">
        <f t="shared" si="2"/>
        <v>30204</v>
      </c>
      <c r="P21" s="79">
        <v>0.3</v>
      </c>
      <c r="Q21" s="2"/>
      <c r="R21" s="2"/>
      <c r="S21" s="2"/>
    </row>
    <row r="22" spans="1:19" s="1" customFormat="1" ht="138" x14ac:dyDescent="0.45">
      <c r="A22" s="75">
        <v>6</v>
      </c>
      <c r="B22" s="76" t="s">
        <v>64</v>
      </c>
      <c r="C22" s="82">
        <v>11</v>
      </c>
      <c r="D22" s="14">
        <v>1</v>
      </c>
      <c r="E22" s="15">
        <f t="shared" ref="E22:E106" si="8">ROUND(852*1.97,0)</f>
        <v>1678</v>
      </c>
      <c r="F22" s="19">
        <v>30</v>
      </c>
      <c r="G22" s="15">
        <f t="shared" si="7"/>
        <v>503.4</v>
      </c>
      <c r="H22" s="15"/>
      <c r="I22" s="15"/>
      <c r="J22" s="19">
        <v>20</v>
      </c>
      <c r="K22" s="15">
        <f t="shared" si="0"/>
        <v>335.6</v>
      </c>
      <c r="L22" s="81"/>
      <c r="M22" s="83"/>
      <c r="N22" s="78">
        <f t="shared" si="1"/>
        <v>2517</v>
      </c>
      <c r="O22" s="78">
        <f t="shared" si="2"/>
        <v>30204</v>
      </c>
      <c r="P22" s="79">
        <v>0.3</v>
      </c>
      <c r="Q22" s="2"/>
      <c r="R22" s="2"/>
      <c r="S22" s="2"/>
    </row>
    <row r="23" spans="1:19" s="1" customFormat="1" ht="138" x14ac:dyDescent="0.45">
      <c r="A23" s="75">
        <v>7</v>
      </c>
      <c r="B23" s="76" t="s">
        <v>62</v>
      </c>
      <c r="C23" s="82">
        <v>11</v>
      </c>
      <c r="D23" s="14">
        <v>1</v>
      </c>
      <c r="E23" s="15">
        <f t="shared" si="8"/>
        <v>1678</v>
      </c>
      <c r="F23" s="19">
        <v>20</v>
      </c>
      <c r="G23" s="15">
        <f>D23*+E23*F23/100</f>
        <v>335.6</v>
      </c>
      <c r="H23" s="15"/>
      <c r="I23" s="15"/>
      <c r="J23" s="19">
        <v>20</v>
      </c>
      <c r="K23" s="15">
        <f t="shared" si="0"/>
        <v>335.6</v>
      </c>
      <c r="L23" s="81"/>
      <c r="M23" s="15"/>
      <c r="N23" s="78">
        <f t="shared" si="1"/>
        <v>2349.1999999999998</v>
      </c>
      <c r="O23" s="78">
        <f t="shared" si="2"/>
        <v>28190.400000000001</v>
      </c>
      <c r="P23" s="79"/>
      <c r="Q23" s="2"/>
      <c r="R23" s="2"/>
      <c r="S23" s="2"/>
    </row>
    <row r="24" spans="1:19" s="1" customFormat="1" ht="69.95" customHeight="1" x14ac:dyDescent="0.45">
      <c r="A24" s="75">
        <v>8</v>
      </c>
      <c r="B24" s="76" t="s">
        <v>82</v>
      </c>
      <c r="C24" s="84">
        <v>11</v>
      </c>
      <c r="D24" s="126">
        <v>1</v>
      </c>
      <c r="E24" s="15">
        <f t="shared" si="8"/>
        <v>1678</v>
      </c>
      <c r="F24" s="26">
        <v>20</v>
      </c>
      <c r="G24" s="15">
        <f t="shared" si="7"/>
        <v>335.6</v>
      </c>
      <c r="H24" s="15"/>
      <c r="I24" s="15"/>
      <c r="J24" s="19">
        <v>20</v>
      </c>
      <c r="K24" s="15">
        <f t="shared" si="0"/>
        <v>335.6</v>
      </c>
      <c r="L24" s="81"/>
      <c r="M24" s="15"/>
      <c r="N24" s="78">
        <f t="shared" ref="N24:N29" si="9">D24*E24+G24+K24+M24</f>
        <v>2349.1999999999998</v>
      </c>
      <c r="O24" s="78">
        <f t="shared" si="2"/>
        <v>28190.400000000001</v>
      </c>
      <c r="P24" s="79">
        <v>0.1</v>
      </c>
      <c r="Q24" s="2"/>
      <c r="R24" s="2"/>
      <c r="S24" s="2"/>
    </row>
    <row r="25" spans="1:19" s="1" customFormat="1" ht="69.95" customHeight="1" x14ac:dyDescent="0.45">
      <c r="A25" s="75">
        <v>9</v>
      </c>
      <c r="B25" s="76" t="s">
        <v>83</v>
      </c>
      <c r="C25" s="82">
        <v>11</v>
      </c>
      <c r="D25" s="15">
        <v>1</v>
      </c>
      <c r="E25" s="15">
        <f t="shared" si="8"/>
        <v>1678</v>
      </c>
      <c r="F25" s="19">
        <v>20</v>
      </c>
      <c r="G25" s="15">
        <f t="shared" si="7"/>
        <v>335.6</v>
      </c>
      <c r="H25" s="15"/>
      <c r="I25" s="15"/>
      <c r="J25" s="19">
        <v>20</v>
      </c>
      <c r="K25" s="15">
        <f t="shared" si="0"/>
        <v>335.6</v>
      </c>
      <c r="L25" s="85"/>
      <c r="M25" s="83"/>
      <c r="N25" s="78">
        <f t="shared" si="9"/>
        <v>2349.1999999999998</v>
      </c>
      <c r="O25" s="78">
        <f t="shared" si="2"/>
        <v>28190.400000000001</v>
      </c>
      <c r="P25" s="79">
        <v>0.2</v>
      </c>
      <c r="Q25" s="2"/>
      <c r="R25" s="2"/>
      <c r="S25" s="2"/>
    </row>
    <row r="26" spans="1:19" s="1" customFormat="1" ht="35.1" customHeight="1" x14ac:dyDescent="0.45">
      <c r="A26" s="75">
        <v>10</v>
      </c>
      <c r="B26" s="76" t="s">
        <v>84</v>
      </c>
      <c r="C26" s="82">
        <v>11</v>
      </c>
      <c r="D26" s="15">
        <v>1</v>
      </c>
      <c r="E26" s="15">
        <f t="shared" si="8"/>
        <v>1678</v>
      </c>
      <c r="F26" s="26">
        <v>30</v>
      </c>
      <c r="G26" s="15">
        <f>D26*E26*F26/100</f>
        <v>503.4</v>
      </c>
      <c r="H26" s="15"/>
      <c r="I26" s="15"/>
      <c r="J26" s="19">
        <v>20</v>
      </c>
      <c r="K26" s="15">
        <f t="shared" si="0"/>
        <v>335.6</v>
      </c>
      <c r="L26" s="81"/>
      <c r="M26" s="15"/>
      <c r="N26" s="78">
        <f t="shared" si="9"/>
        <v>2517</v>
      </c>
      <c r="O26" s="78">
        <f t="shared" si="2"/>
        <v>30204</v>
      </c>
      <c r="P26" s="79">
        <v>0.3</v>
      </c>
      <c r="Q26" s="2"/>
      <c r="R26" s="2"/>
      <c r="S26" s="2"/>
    </row>
    <row r="27" spans="1:19" s="1" customFormat="1" ht="35.1" customHeight="1" x14ac:dyDescent="0.45">
      <c r="A27" s="75">
        <v>11</v>
      </c>
      <c r="B27" s="76" t="s">
        <v>25</v>
      </c>
      <c r="C27" s="82">
        <v>9</v>
      </c>
      <c r="D27" s="15">
        <v>1</v>
      </c>
      <c r="E27" s="15">
        <f>ROUND(852*1.73,0)</f>
        <v>1474</v>
      </c>
      <c r="F27" s="19">
        <v>30</v>
      </c>
      <c r="G27" s="15">
        <f t="shared" ref="G27:G29" si="10">D27*E27*F27/100</f>
        <v>442.2</v>
      </c>
      <c r="H27" s="15"/>
      <c r="I27" s="15"/>
      <c r="J27" s="19">
        <v>20</v>
      </c>
      <c r="K27" s="15">
        <f t="shared" si="0"/>
        <v>294.8</v>
      </c>
      <c r="L27" s="81"/>
      <c r="M27" s="15"/>
      <c r="N27" s="78">
        <f t="shared" si="9"/>
        <v>2211</v>
      </c>
      <c r="O27" s="78">
        <f t="shared" si="2"/>
        <v>26532</v>
      </c>
      <c r="P27" s="79">
        <v>0.2</v>
      </c>
      <c r="Q27" s="2"/>
      <c r="R27" s="2"/>
      <c r="S27" s="2"/>
    </row>
    <row r="28" spans="1:19" s="1" customFormat="1" ht="35.1" customHeight="1" x14ac:dyDescent="0.45">
      <c r="A28" s="75">
        <v>12</v>
      </c>
      <c r="B28" s="76" t="s">
        <v>25</v>
      </c>
      <c r="C28" s="82">
        <v>9</v>
      </c>
      <c r="D28" s="15">
        <v>1</v>
      </c>
      <c r="E28" s="15">
        <f>ROUND(852*1.73,0)</f>
        <v>1474</v>
      </c>
      <c r="F28" s="26">
        <v>20</v>
      </c>
      <c r="G28" s="15">
        <f t="shared" si="10"/>
        <v>294.8</v>
      </c>
      <c r="H28" s="15"/>
      <c r="I28" s="15"/>
      <c r="J28" s="19">
        <v>20</v>
      </c>
      <c r="K28" s="15">
        <f t="shared" si="0"/>
        <v>294.8</v>
      </c>
      <c r="L28" s="81"/>
      <c r="M28" s="83"/>
      <c r="N28" s="78">
        <f t="shared" si="9"/>
        <v>2063.6</v>
      </c>
      <c r="O28" s="78">
        <f t="shared" si="2"/>
        <v>24763.200000000001</v>
      </c>
      <c r="P28" s="79">
        <v>0.3</v>
      </c>
      <c r="Q28" s="2"/>
      <c r="R28" s="2"/>
      <c r="S28" s="2"/>
    </row>
    <row r="29" spans="1:19" s="1" customFormat="1" ht="35.1" customHeight="1" x14ac:dyDescent="0.45">
      <c r="A29" s="75">
        <v>13</v>
      </c>
      <c r="B29" s="76" t="s">
        <v>60</v>
      </c>
      <c r="C29" s="82">
        <v>10</v>
      </c>
      <c r="D29" s="15">
        <v>1</v>
      </c>
      <c r="E29" s="15">
        <f>ROUND(852*1.82,0)</f>
        <v>1551</v>
      </c>
      <c r="F29" s="19">
        <v>20</v>
      </c>
      <c r="G29" s="15">
        <f t="shared" si="10"/>
        <v>310.2</v>
      </c>
      <c r="H29" s="15"/>
      <c r="I29" s="15"/>
      <c r="J29" s="19">
        <v>20</v>
      </c>
      <c r="K29" s="15">
        <f t="shared" si="0"/>
        <v>310.2</v>
      </c>
      <c r="L29" s="81"/>
      <c r="M29" s="15"/>
      <c r="N29" s="78">
        <f t="shared" si="9"/>
        <v>2171.4</v>
      </c>
      <c r="O29" s="78">
        <f t="shared" si="2"/>
        <v>26056.799999999999</v>
      </c>
      <c r="P29" s="79">
        <v>0.1</v>
      </c>
      <c r="Q29" s="2"/>
      <c r="R29" s="2"/>
      <c r="S29" s="2"/>
    </row>
    <row r="30" spans="1:19" s="1" customFormat="1" ht="38.25" customHeight="1" x14ac:dyDescent="0.5">
      <c r="A30" s="75"/>
      <c r="B30" s="122" t="s">
        <v>41</v>
      </c>
      <c r="C30" s="86"/>
      <c r="D30" s="17">
        <f>SUM(D17:D29)</f>
        <v>12</v>
      </c>
      <c r="E30" s="17">
        <f>D17*E17+D18*E18+D19*E19+D20*E20+D21*E21+D22*E22+D23*E23+D24*E24+D25*E25+D26*E26+D27*E27+D28*E28+D29*E29</f>
        <v>21222.6</v>
      </c>
      <c r="F30" s="17"/>
      <c r="G30" s="17">
        <f>SUM(G17:G29)</f>
        <v>5358.85</v>
      </c>
      <c r="H30" s="17"/>
      <c r="I30" s="17"/>
      <c r="J30" s="17"/>
      <c r="K30" s="17">
        <f t="shared" ref="K30:M30" si="11">SUM(K17:K29)</f>
        <v>4244.53</v>
      </c>
      <c r="L30" s="17"/>
      <c r="M30" s="17">
        <f t="shared" si="11"/>
        <v>665.56</v>
      </c>
      <c r="N30" s="87">
        <f>SUM(N17:N29)</f>
        <v>31491.55</v>
      </c>
      <c r="O30" s="87">
        <f>SUM(O17:O29)</f>
        <v>377898.6</v>
      </c>
      <c r="P30" s="79"/>
      <c r="Q30" s="2"/>
      <c r="R30" s="2"/>
      <c r="S30" s="2"/>
    </row>
    <row r="31" spans="1:19" s="1" customFormat="1" ht="48" customHeight="1" x14ac:dyDescent="0.35">
      <c r="A31" s="153" t="s">
        <v>130</v>
      </c>
      <c r="B31" s="154"/>
      <c r="C31" s="154"/>
      <c r="D31" s="154"/>
      <c r="E31" s="154"/>
      <c r="F31" s="154"/>
      <c r="G31" s="154"/>
      <c r="H31" s="154"/>
      <c r="I31" s="154"/>
      <c r="J31" s="154"/>
      <c r="K31" s="154"/>
      <c r="L31" s="154"/>
      <c r="M31" s="154"/>
      <c r="N31" s="154"/>
      <c r="O31" s="155"/>
      <c r="P31" s="79"/>
      <c r="Q31" s="2"/>
      <c r="R31" s="2"/>
      <c r="S31" s="2"/>
    </row>
    <row r="32" spans="1:19" s="1" customFormat="1" ht="35.1" customHeight="1" x14ac:dyDescent="0.45">
      <c r="A32" s="75">
        <v>1</v>
      </c>
      <c r="B32" s="76" t="s">
        <v>85</v>
      </c>
      <c r="C32" s="88"/>
      <c r="D32" s="14">
        <v>1</v>
      </c>
      <c r="E32" s="15">
        <f>E17*0.9</f>
        <v>2139.3000000000002</v>
      </c>
      <c r="F32" s="19">
        <v>20</v>
      </c>
      <c r="G32" s="15">
        <f>D32*E32*F32/100</f>
        <v>427.86</v>
      </c>
      <c r="H32" s="15"/>
      <c r="I32" s="15"/>
      <c r="J32" s="19">
        <v>20</v>
      </c>
      <c r="K32" s="15">
        <f>D32*E32*J32/100</f>
        <v>427.86</v>
      </c>
      <c r="L32" s="52">
        <v>10</v>
      </c>
      <c r="M32" s="15">
        <f>E32*L32/100*D32</f>
        <v>213.93</v>
      </c>
      <c r="N32" s="78">
        <f>D32*E32+G32+I32+K32+M32</f>
        <v>3208.95</v>
      </c>
      <c r="O32" s="78">
        <f>N32*12</f>
        <v>38507.4</v>
      </c>
      <c r="P32" s="79">
        <v>0.2</v>
      </c>
      <c r="Q32" s="2"/>
      <c r="R32" s="2"/>
      <c r="S32" s="2"/>
    </row>
    <row r="33" spans="1:19" s="1" customFormat="1" ht="276" x14ac:dyDescent="0.45">
      <c r="A33" s="75">
        <v>2</v>
      </c>
      <c r="B33" s="76" t="s">
        <v>109</v>
      </c>
      <c r="C33" s="82">
        <v>11</v>
      </c>
      <c r="D33" s="14">
        <v>0.5</v>
      </c>
      <c r="E33" s="15">
        <f t="shared" ref="E33:E35" si="12">ROUND(852*1.97,0)</f>
        <v>1678</v>
      </c>
      <c r="F33" s="19">
        <v>10</v>
      </c>
      <c r="G33" s="15">
        <f t="shared" ref="G33" si="13">D33*E33*F33/100</f>
        <v>83.9</v>
      </c>
      <c r="H33" s="15"/>
      <c r="I33" s="15"/>
      <c r="J33" s="19">
        <v>20</v>
      </c>
      <c r="K33" s="15">
        <f t="shared" ref="K33" si="14">D33*E33*J33/100</f>
        <v>167.8</v>
      </c>
      <c r="L33" s="81"/>
      <c r="M33" s="15"/>
      <c r="N33" s="78">
        <f t="shared" ref="N33" si="15">D33*E33+G33+I33+K33+M33</f>
        <v>1090.7</v>
      </c>
      <c r="O33" s="78">
        <f t="shared" ref="O33:O35" si="16">N33*12</f>
        <v>13088.4</v>
      </c>
      <c r="P33" s="79"/>
      <c r="Q33" s="2"/>
      <c r="R33" s="2"/>
      <c r="S33" s="2"/>
    </row>
    <row r="34" spans="1:19" s="1" customFormat="1" ht="287.25" customHeight="1" x14ac:dyDescent="0.45">
      <c r="A34" s="75">
        <v>3</v>
      </c>
      <c r="B34" s="76" t="s">
        <v>109</v>
      </c>
      <c r="C34" s="82">
        <v>11</v>
      </c>
      <c r="D34" s="14">
        <v>0.5</v>
      </c>
      <c r="E34" s="15">
        <f t="shared" si="12"/>
        <v>1678</v>
      </c>
      <c r="F34" s="19">
        <v>20</v>
      </c>
      <c r="G34" s="15">
        <f t="shared" ref="G34:G35" si="17">D34*E34*F34/100</f>
        <v>167.8</v>
      </c>
      <c r="H34" s="15"/>
      <c r="I34" s="15"/>
      <c r="J34" s="19">
        <v>20</v>
      </c>
      <c r="K34" s="15">
        <f t="shared" ref="K34:K35" si="18">D34*E34*J34/100</f>
        <v>167.8</v>
      </c>
      <c r="L34" s="81"/>
      <c r="M34" s="15"/>
      <c r="N34" s="78">
        <f t="shared" ref="N34:N35" si="19">D34*E34+G34+I34+K34+M34</f>
        <v>1174.5999999999999</v>
      </c>
      <c r="O34" s="78">
        <f t="shared" si="16"/>
        <v>14095.2</v>
      </c>
      <c r="P34" s="79">
        <v>0.3</v>
      </c>
      <c r="Q34" s="2"/>
      <c r="R34" s="2"/>
      <c r="S34" s="2"/>
    </row>
    <row r="35" spans="1:19" s="1" customFormat="1" ht="69.95" customHeight="1" x14ac:dyDescent="0.45">
      <c r="A35" s="75">
        <v>4</v>
      </c>
      <c r="B35" s="76" t="s">
        <v>83</v>
      </c>
      <c r="C35" s="82">
        <v>11</v>
      </c>
      <c r="D35" s="14">
        <v>1</v>
      </c>
      <c r="E35" s="15">
        <f t="shared" si="12"/>
        <v>1678</v>
      </c>
      <c r="F35" s="19">
        <v>20</v>
      </c>
      <c r="G35" s="15">
        <f t="shared" si="17"/>
        <v>335.6</v>
      </c>
      <c r="H35" s="15"/>
      <c r="I35" s="15"/>
      <c r="J35" s="19">
        <v>20</v>
      </c>
      <c r="K35" s="15">
        <f t="shared" si="18"/>
        <v>335.6</v>
      </c>
      <c r="L35" s="81"/>
      <c r="M35" s="15"/>
      <c r="N35" s="78">
        <f t="shared" si="19"/>
        <v>2349.1999999999998</v>
      </c>
      <c r="O35" s="78">
        <f t="shared" si="16"/>
        <v>28190.400000000001</v>
      </c>
      <c r="P35" s="79">
        <v>0.2</v>
      </c>
      <c r="Q35" s="2"/>
      <c r="R35" s="2"/>
      <c r="S35" s="2"/>
    </row>
    <row r="36" spans="1:19" s="1" customFormat="1" ht="37.5" customHeight="1" x14ac:dyDescent="0.5">
      <c r="A36" s="75"/>
      <c r="B36" s="122" t="s">
        <v>42</v>
      </c>
      <c r="C36" s="86"/>
      <c r="D36" s="17">
        <f>SUM(D32:D35)</f>
        <v>3</v>
      </c>
      <c r="E36" s="17">
        <f>D32*E32+D34*E34+D35*E35+D33*E33</f>
        <v>5495.3</v>
      </c>
      <c r="F36" s="17"/>
      <c r="G36" s="17">
        <f>SUM(G32:G35)</f>
        <v>1015.16</v>
      </c>
      <c r="H36" s="17"/>
      <c r="I36" s="17"/>
      <c r="J36" s="17"/>
      <c r="K36" s="17">
        <f t="shared" ref="K36:M36" si="20">SUM(K32:K35)</f>
        <v>1099.06</v>
      </c>
      <c r="L36" s="17"/>
      <c r="M36" s="17">
        <f t="shared" si="20"/>
        <v>213.93</v>
      </c>
      <c r="N36" s="87">
        <f>SUM(N32:N35)</f>
        <v>7823.45</v>
      </c>
      <c r="O36" s="87">
        <f>SUM(O32:O35)</f>
        <v>93881.4</v>
      </c>
      <c r="P36" s="79"/>
      <c r="Q36" s="2"/>
      <c r="R36" s="2"/>
      <c r="S36" s="2"/>
    </row>
    <row r="37" spans="1:19" s="1" customFormat="1" ht="38.25" customHeight="1" x14ac:dyDescent="0.5">
      <c r="A37" s="75"/>
      <c r="B37" s="122" t="s">
        <v>37</v>
      </c>
      <c r="C37" s="89"/>
      <c r="D37" s="17">
        <f>D30+D36</f>
        <v>15</v>
      </c>
      <c r="E37" s="17">
        <f>E30+E36</f>
        <v>26717.9</v>
      </c>
      <c r="F37" s="17"/>
      <c r="G37" s="17">
        <f>G30+G36</f>
        <v>6374.01</v>
      </c>
      <c r="H37" s="17"/>
      <c r="I37" s="17">
        <f>I30+I36</f>
        <v>0</v>
      </c>
      <c r="J37" s="17"/>
      <c r="K37" s="17">
        <f>K30+K36</f>
        <v>5343.59</v>
      </c>
      <c r="L37" s="17"/>
      <c r="M37" s="17">
        <f>M30+M36</f>
        <v>879.49</v>
      </c>
      <c r="N37" s="87">
        <f>N30+N36</f>
        <v>39315</v>
      </c>
      <c r="O37" s="87">
        <f>O30+O36</f>
        <v>471780</v>
      </c>
      <c r="P37" s="79"/>
      <c r="Q37" s="2"/>
      <c r="R37" s="2"/>
      <c r="S37" s="2"/>
    </row>
    <row r="38" spans="1:19" s="1" customFormat="1" ht="45" customHeight="1" x14ac:dyDescent="0.5">
      <c r="A38" s="159" t="s">
        <v>23</v>
      </c>
      <c r="B38" s="160"/>
      <c r="C38" s="160"/>
      <c r="D38" s="160"/>
      <c r="E38" s="160"/>
      <c r="F38" s="160"/>
      <c r="G38" s="160"/>
      <c r="H38" s="160"/>
      <c r="I38" s="160"/>
      <c r="J38" s="160"/>
      <c r="K38" s="160"/>
      <c r="L38" s="160"/>
      <c r="M38" s="160"/>
      <c r="N38" s="160"/>
      <c r="O38" s="161"/>
      <c r="P38" s="79"/>
      <c r="Q38" s="2"/>
      <c r="R38" s="2"/>
      <c r="S38" s="2"/>
    </row>
    <row r="39" spans="1:19" s="1" customFormat="1" ht="67.5" customHeight="1" x14ac:dyDescent="0.45">
      <c r="A39" s="75">
        <v>1</v>
      </c>
      <c r="B39" s="76" t="s">
        <v>128</v>
      </c>
      <c r="C39" s="77">
        <v>9</v>
      </c>
      <c r="D39" s="127">
        <v>1</v>
      </c>
      <c r="E39" s="15">
        <f>ROUND(852*1.73,0)</f>
        <v>1474</v>
      </c>
      <c r="F39" s="52">
        <v>20</v>
      </c>
      <c r="G39" s="15">
        <f>E39*F39/100*D39</f>
        <v>294.8</v>
      </c>
      <c r="H39" s="14"/>
      <c r="I39" s="15"/>
      <c r="J39" s="52">
        <v>20</v>
      </c>
      <c r="K39" s="15">
        <f>D39*E39*F39/100*D39</f>
        <v>294.8</v>
      </c>
      <c r="L39" s="14"/>
      <c r="M39" s="15"/>
      <c r="N39" s="90">
        <f>D39*E39+G39+I39+K39+M39</f>
        <v>2063.6</v>
      </c>
      <c r="O39" s="78">
        <f>N39*12</f>
        <v>24763.200000000001</v>
      </c>
      <c r="P39" s="79"/>
      <c r="Q39" s="2"/>
      <c r="R39" s="2"/>
      <c r="S39" s="2"/>
    </row>
    <row r="40" spans="1:19" s="1" customFormat="1" ht="34.5" customHeight="1" x14ac:dyDescent="0.5">
      <c r="A40" s="75"/>
      <c r="B40" s="91" t="s">
        <v>40</v>
      </c>
      <c r="C40" s="89"/>
      <c r="D40" s="17">
        <f>SUM(D39:D39)</f>
        <v>1</v>
      </c>
      <c r="E40" s="17">
        <f>SUM(E39:E39)</f>
        <v>1474</v>
      </c>
      <c r="F40" s="17"/>
      <c r="G40" s="17">
        <f>SUM(G39:G39)</f>
        <v>294.8</v>
      </c>
      <c r="H40" s="17"/>
      <c r="I40" s="17"/>
      <c r="J40" s="17"/>
      <c r="K40" s="17">
        <f>SUM(K39:K39)</f>
        <v>294.8</v>
      </c>
      <c r="L40" s="17"/>
      <c r="M40" s="17"/>
      <c r="N40" s="87">
        <f>SUM(N39:N39)</f>
        <v>2063.6</v>
      </c>
      <c r="O40" s="87">
        <f>SUM(O39:O39)</f>
        <v>24763.200000000001</v>
      </c>
      <c r="P40" s="79"/>
      <c r="Q40" s="2"/>
      <c r="R40" s="2"/>
      <c r="S40" s="2"/>
    </row>
    <row r="41" spans="1:19" s="1" customFormat="1" ht="41.25" customHeight="1" x14ac:dyDescent="0.35">
      <c r="A41" s="153" t="s">
        <v>39</v>
      </c>
      <c r="B41" s="154"/>
      <c r="C41" s="154"/>
      <c r="D41" s="154"/>
      <c r="E41" s="154"/>
      <c r="F41" s="154"/>
      <c r="G41" s="154"/>
      <c r="H41" s="154"/>
      <c r="I41" s="154"/>
      <c r="J41" s="154"/>
      <c r="K41" s="154"/>
      <c r="L41" s="154"/>
      <c r="M41" s="154"/>
      <c r="N41" s="154"/>
      <c r="O41" s="155"/>
      <c r="P41" s="79"/>
      <c r="Q41" s="2"/>
      <c r="R41" s="2"/>
      <c r="S41" s="2"/>
    </row>
    <row r="42" spans="1:19" s="1" customFormat="1" ht="105" customHeight="1" x14ac:dyDescent="0.45">
      <c r="A42" s="75">
        <v>1</v>
      </c>
      <c r="B42" s="76" t="s">
        <v>86</v>
      </c>
      <c r="C42" s="80"/>
      <c r="D42" s="14">
        <v>1</v>
      </c>
      <c r="E42" s="15">
        <f>E17*0.85</f>
        <v>2020.45</v>
      </c>
      <c r="F42" s="28"/>
      <c r="G42" s="15"/>
      <c r="H42" s="19"/>
      <c r="I42" s="15"/>
      <c r="J42" s="28"/>
      <c r="K42" s="15"/>
      <c r="L42" s="81"/>
      <c r="M42" s="15"/>
      <c r="N42" s="78">
        <f>D42*E42+G42+I42+K42+M42</f>
        <v>2020.45</v>
      </c>
      <c r="O42" s="78">
        <f>N42*12</f>
        <v>24245.4</v>
      </c>
      <c r="P42" s="79"/>
      <c r="Q42" s="2"/>
      <c r="R42" s="2"/>
      <c r="S42" s="2"/>
    </row>
    <row r="43" spans="1:19" s="1" customFormat="1" ht="35.1" customHeight="1" x14ac:dyDescent="0.5">
      <c r="A43" s="75">
        <v>2</v>
      </c>
      <c r="B43" s="76" t="s">
        <v>2</v>
      </c>
      <c r="C43" s="80"/>
      <c r="D43" s="14">
        <v>1</v>
      </c>
      <c r="E43" s="15">
        <f>E17*0.9</f>
        <v>2139.3000000000002</v>
      </c>
      <c r="F43" s="19"/>
      <c r="G43" s="15"/>
      <c r="H43" s="19"/>
      <c r="I43" s="15"/>
      <c r="J43" s="28"/>
      <c r="K43" s="15"/>
      <c r="L43" s="92"/>
      <c r="M43" s="17"/>
      <c r="N43" s="78">
        <f t="shared" ref="N43:N50" si="21">D43*E43+G43+I43+K43+M43</f>
        <v>2139.3000000000002</v>
      </c>
      <c r="O43" s="78">
        <f t="shared" ref="O43:O63" si="22">N43*12</f>
        <v>25671.599999999999</v>
      </c>
      <c r="P43" s="79"/>
      <c r="Q43" s="2"/>
      <c r="R43" s="2"/>
      <c r="S43" s="2"/>
    </row>
    <row r="44" spans="1:19" s="1" customFormat="1" ht="35.1" customHeight="1" x14ac:dyDescent="0.45">
      <c r="A44" s="75">
        <v>3</v>
      </c>
      <c r="B44" s="76" t="s">
        <v>3</v>
      </c>
      <c r="C44" s="93"/>
      <c r="D44" s="14">
        <v>0.5</v>
      </c>
      <c r="E44" s="15">
        <f>E43*0.91</f>
        <v>1946.76</v>
      </c>
      <c r="F44" s="19"/>
      <c r="G44" s="15"/>
      <c r="H44" s="19"/>
      <c r="I44" s="15"/>
      <c r="J44" s="28"/>
      <c r="K44" s="15"/>
      <c r="L44" s="81"/>
      <c r="M44" s="15"/>
      <c r="N44" s="78">
        <f t="shared" si="21"/>
        <v>973.38</v>
      </c>
      <c r="O44" s="78">
        <f t="shared" si="22"/>
        <v>11680.56</v>
      </c>
      <c r="P44" s="79"/>
      <c r="Q44" s="2"/>
      <c r="R44" s="2"/>
      <c r="S44" s="2"/>
    </row>
    <row r="45" spans="1:19" s="1" customFormat="1" ht="35.1" customHeight="1" x14ac:dyDescent="0.45">
      <c r="A45" s="75">
        <v>4</v>
      </c>
      <c r="B45" s="76" t="s">
        <v>114</v>
      </c>
      <c r="C45" s="82">
        <v>9</v>
      </c>
      <c r="D45" s="14">
        <v>0.5</v>
      </c>
      <c r="E45" s="15">
        <v>1474</v>
      </c>
      <c r="F45" s="19"/>
      <c r="G45" s="15"/>
      <c r="H45" s="19"/>
      <c r="I45" s="15"/>
      <c r="J45" s="28"/>
      <c r="K45" s="15"/>
      <c r="L45" s="81"/>
      <c r="M45" s="15"/>
      <c r="N45" s="78">
        <f t="shared" si="21"/>
        <v>737</v>
      </c>
      <c r="O45" s="78">
        <f t="shared" si="22"/>
        <v>8844</v>
      </c>
      <c r="P45" s="79"/>
      <c r="Q45" s="2"/>
      <c r="R45" s="2"/>
      <c r="S45" s="2"/>
    </row>
    <row r="46" spans="1:19" s="1" customFormat="1" ht="35.1" customHeight="1" x14ac:dyDescent="0.45">
      <c r="A46" s="75">
        <v>5</v>
      </c>
      <c r="B46" s="76" t="s">
        <v>88</v>
      </c>
      <c r="C46" s="82">
        <v>9</v>
      </c>
      <c r="D46" s="14">
        <v>1</v>
      </c>
      <c r="E46" s="15">
        <f t="shared" ref="E46:E47" si="23">ROUND(852*1.73,0)</f>
        <v>1474</v>
      </c>
      <c r="F46" s="19"/>
      <c r="G46" s="15"/>
      <c r="H46" s="19"/>
      <c r="I46" s="15"/>
      <c r="J46" s="28"/>
      <c r="K46" s="15"/>
      <c r="L46" s="81"/>
      <c r="M46" s="15"/>
      <c r="N46" s="78">
        <f t="shared" si="21"/>
        <v>1474</v>
      </c>
      <c r="O46" s="78">
        <f t="shared" si="22"/>
        <v>17688</v>
      </c>
      <c r="P46" s="79"/>
      <c r="Q46" s="2"/>
      <c r="R46" s="2"/>
      <c r="S46" s="2"/>
    </row>
    <row r="47" spans="1:19" s="1" customFormat="1" ht="35.1" customHeight="1" x14ac:dyDescent="0.45">
      <c r="A47" s="75">
        <v>6</v>
      </c>
      <c r="B47" s="76" t="s">
        <v>88</v>
      </c>
      <c r="C47" s="82">
        <v>9</v>
      </c>
      <c r="D47" s="14">
        <v>1</v>
      </c>
      <c r="E47" s="15">
        <f t="shared" si="23"/>
        <v>1474</v>
      </c>
      <c r="F47" s="19"/>
      <c r="G47" s="15"/>
      <c r="H47" s="19"/>
      <c r="I47" s="15"/>
      <c r="J47" s="28"/>
      <c r="K47" s="15"/>
      <c r="L47" s="81"/>
      <c r="M47" s="15"/>
      <c r="N47" s="78">
        <f t="shared" si="21"/>
        <v>1474</v>
      </c>
      <c r="O47" s="78">
        <f t="shared" si="22"/>
        <v>17688</v>
      </c>
      <c r="P47" s="79"/>
      <c r="Q47" s="2"/>
      <c r="R47" s="2"/>
      <c r="S47" s="2"/>
    </row>
    <row r="48" spans="1:19" s="1" customFormat="1" ht="35.1" customHeight="1" x14ac:dyDescent="0.45">
      <c r="A48" s="75">
        <v>7</v>
      </c>
      <c r="B48" s="132" t="s">
        <v>113</v>
      </c>
      <c r="C48" s="82">
        <v>8</v>
      </c>
      <c r="D48" s="14">
        <v>1</v>
      </c>
      <c r="E48" s="15">
        <v>1397</v>
      </c>
      <c r="F48" s="19"/>
      <c r="G48" s="15"/>
      <c r="H48" s="19"/>
      <c r="I48" s="15"/>
      <c r="J48" s="28"/>
      <c r="K48" s="15"/>
      <c r="L48" s="81"/>
      <c r="M48" s="15"/>
      <c r="N48" s="78">
        <f t="shared" si="21"/>
        <v>1397</v>
      </c>
      <c r="O48" s="78">
        <f t="shared" si="22"/>
        <v>16764</v>
      </c>
      <c r="P48" s="79"/>
      <c r="Q48" s="2"/>
      <c r="R48" s="2"/>
      <c r="S48" s="2"/>
    </row>
    <row r="49" spans="1:20" s="1" customFormat="1" ht="35.1" customHeight="1" x14ac:dyDescent="0.45">
      <c r="A49" s="75">
        <v>8</v>
      </c>
      <c r="B49" s="76" t="s">
        <v>87</v>
      </c>
      <c r="C49" s="82">
        <v>5</v>
      </c>
      <c r="D49" s="14">
        <v>1</v>
      </c>
      <c r="E49" s="15">
        <v>1253</v>
      </c>
      <c r="F49" s="19"/>
      <c r="G49" s="15"/>
      <c r="H49" s="19"/>
      <c r="I49" s="15"/>
      <c r="J49" s="28"/>
      <c r="K49" s="15"/>
      <c r="L49" s="81"/>
      <c r="M49" s="15"/>
      <c r="N49" s="78">
        <f t="shared" si="21"/>
        <v>1253</v>
      </c>
      <c r="O49" s="78">
        <f t="shared" si="22"/>
        <v>15036</v>
      </c>
      <c r="P49" s="79"/>
      <c r="Q49" s="2"/>
      <c r="R49" s="2"/>
      <c r="S49" s="2"/>
    </row>
    <row r="50" spans="1:20" s="1" customFormat="1" ht="35.1" customHeight="1" x14ac:dyDescent="0.45">
      <c r="A50" s="75">
        <v>9</v>
      </c>
      <c r="B50" s="76" t="s">
        <v>29</v>
      </c>
      <c r="C50" s="82">
        <v>5</v>
      </c>
      <c r="D50" s="14">
        <v>1</v>
      </c>
      <c r="E50" s="15">
        <v>1253</v>
      </c>
      <c r="F50" s="19"/>
      <c r="G50" s="15"/>
      <c r="H50" s="19"/>
      <c r="I50" s="15"/>
      <c r="J50" s="28"/>
      <c r="K50" s="15"/>
      <c r="L50" s="81"/>
      <c r="M50" s="15"/>
      <c r="N50" s="78">
        <f t="shared" si="21"/>
        <v>1253</v>
      </c>
      <c r="O50" s="78">
        <f t="shared" si="22"/>
        <v>15036</v>
      </c>
      <c r="P50" s="79"/>
      <c r="Q50" s="2"/>
      <c r="R50" s="2"/>
      <c r="S50" s="2"/>
    </row>
    <row r="51" spans="1:20" s="1" customFormat="1" ht="35.1" customHeight="1" x14ac:dyDescent="0.45">
      <c r="A51" s="75">
        <v>10</v>
      </c>
      <c r="B51" s="76" t="s">
        <v>90</v>
      </c>
      <c r="C51" s="82">
        <v>5</v>
      </c>
      <c r="D51" s="14">
        <v>1</v>
      </c>
      <c r="E51" s="15">
        <v>1253</v>
      </c>
      <c r="F51" s="19"/>
      <c r="G51" s="15"/>
      <c r="H51" s="19"/>
      <c r="I51" s="15"/>
      <c r="J51" s="28"/>
      <c r="K51" s="15"/>
      <c r="L51" s="81"/>
      <c r="M51" s="15"/>
      <c r="N51" s="78">
        <f t="shared" ref="N51:N61" si="24">D51*E51+G51+I51+K51+M51</f>
        <v>1253</v>
      </c>
      <c r="O51" s="78">
        <f t="shared" si="22"/>
        <v>15036</v>
      </c>
      <c r="P51" s="79"/>
      <c r="Q51" s="2"/>
      <c r="R51" s="2"/>
      <c r="S51" s="2"/>
    </row>
    <row r="52" spans="1:20" s="1" customFormat="1" ht="69.95" customHeight="1" x14ac:dyDescent="0.45">
      <c r="A52" s="75">
        <v>11</v>
      </c>
      <c r="B52" s="76" t="s">
        <v>91</v>
      </c>
      <c r="C52" s="82">
        <v>5</v>
      </c>
      <c r="D52" s="14">
        <v>0.5</v>
      </c>
      <c r="E52" s="15">
        <v>1253</v>
      </c>
      <c r="F52" s="19"/>
      <c r="G52" s="15"/>
      <c r="H52" s="19"/>
      <c r="I52" s="15"/>
      <c r="J52" s="28"/>
      <c r="K52" s="15"/>
      <c r="L52" s="81"/>
      <c r="M52" s="15"/>
      <c r="N52" s="78">
        <f t="shared" si="24"/>
        <v>626.5</v>
      </c>
      <c r="O52" s="78">
        <f t="shared" si="22"/>
        <v>7518</v>
      </c>
      <c r="P52" s="79"/>
      <c r="Q52" s="2"/>
      <c r="R52" s="2"/>
      <c r="S52" s="2"/>
    </row>
    <row r="53" spans="1:20" s="65" customFormat="1" ht="69.95" customHeight="1" x14ac:dyDescent="0.45">
      <c r="A53" s="75">
        <v>12</v>
      </c>
      <c r="B53" s="76" t="s">
        <v>108</v>
      </c>
      <c r="C53" s="82">
        <v>5</v>
      </c>
      <c r="D53" s="14">
        <v>1</v>
      </c>
      <c r="E53" s="15">
        <v>1253</v>
      </c>
      <c r="G53" s="19"/>
      <c r="H53" s="15"/>
      <c r="I53" s="19"/>
      <c r="J53" s="15"/>
      <c r="K53" s="28"/>
      <c r="L53" s="15"/>
      <c r="M53" s="52"/>
      <c r="N53" s="78">
        <f t="shared" ref="N53" si="25">D53*E53+G53+I53+K53+M53</f>
        <v>1253</v>
      </c>
      <c r="O53" s="78">
        <f t="shared" si="22"/>
        <v>15036</v>
      </c>
      <c r="P53" s="79"/>
      <c r="R53" s="67"/>
      <c r="S53" s="67"/>
      <c r="T53" s="67"/>
    </row>
    <row r="54" spans="1:20" s="1" customFormat="1" ht="35.1" customHeight="1" x14ac:dyDescent="0.45">
      <c r="A54" s="75">
        <v>13</v>
      </c>
      <c r="B54" s="76" t="s">
        <v>87</v>
      </c>
      <c r="C54" s="82">
        <v>5</v>
      </c>
      <c r="D54" s="14">
        <v>1</v>
      </c>
      <c r="E54" s="15">
        <v>1253</v>
      </c>
      <c r="F54" s="19"/>
      <c r="G54" s="15"/>
      <c r="H54" s="19"/>
      <c r="I54" s="15"/>
      <c r="J54" s="28"/>
      <c r="K54" s="15"/>
      <c r="L54" s="52"/>
      <c r="M54" s="15"/>
      <c r="N54" s="78">
        <f>D54*E54+G54+I54+K54+M54</f>
        <v>1253</v>
      </c>
      <c r="O54" s="78">
        <f t="shared" si="22"/>
        <v>15036</v>
      </c>
      <c r="P54" s="79"/>
      <c r="Q54" s="2"/>
      <c r="R54" s="2"/>
      <c r="S54" s="2"/>
    </row>
    <row r="55" spans="1:20" s="1" customFormat="1" ht="35.1" customHeight="1" x14ac:dyDescent="0.45">
      <c r="A55" s="75">
        <v>14</v>
      </c>
      <c r="B55" s="76" t="s">
        <v>11</v>
      </c>
      <c r="C55" s="77">
        <v>12</v>
      </c>
      <c r="D55" s="14">
        <v>1</v>
      </c>
      <c r="E55" s="15">
        <f>ROUND(852*2.12,0)</f>
        <v>1806</v>
      </c>
      <c r="F55" s="19">
        <v>20</v>
      </c>
      <c r="G55" s="15">
        <f>D55*E55*F55/100</f>
        <v>361.2</v>
      </c>
      <c r="H55" s="19">
        <v>50</v>
      </c>
      <c r="I55" s="15">
        <f>D55*E55*H55/100</f>
        <v>903</v>
      </c>
      <c r="J55" s="28"/>
      <c r="K55" s="15"/>
      <c r="L55" s="52"/>
      <c r="M55" s="15"/>
      <c r="N55" s="78">
        <f t="shared" si="24"/>
        <v>3070.2</v>
      </c>
      <c r="O55" s="78">
        <f t="shared" si="22"/>
        <v>36842.400000000001</v>
      </c>
      <c r="P55" s="79">
        <v>0.3</v>
      </c>
      <c r="Q55" s="2"/>
      <c r="R55" s="2"/>
      <c r="S55" s="2"/>
    </row>
    <row r="56" spans="1:20" s="1" customFormat="1" ht="35.1" customHeight="1" x14ac:dyDescent="0.45">
      <c r="A56" s="75">
        <v>15</v>
      </c>
      <c r="B56" s="76" t="s">
        <v>92</v>
      </c>
      <c r="C56" s="82">
        <v>9</v>
      </c>
      <c r="D56" s="14">
        <v>1</v>
      </c>
      <c r="E56" s="15">
        <f t="shared" ref="E56:E57" si="26">ROUND(852*1.73,0)</f>
        <v>1474</v>
      </c>
      <c r="F56" s="19"/>
      <c r="G56" s="15"/>
      <c r="H56" s="19"/>
      <c r="I56" s="15"/>
      <c r="J56" s="28"/>
      <c r="K56" s="15"/>
      <c r="L56" s="52"/>
      <c r="M56" s="15"/>
      <c r="N56" s="78">
        <f t="shared" si="24"/>
        <v>1474</v>
      </c>
      <c r="O56" s="78">
        <f t="shared" si="22"/>
        <v>17688</v>
      </c>
      <c r="P56" s="79">
        <v>0.3</v>
      </c>
      <c r="Q56" s="2"/>
      <c r="R56" s="2"/>
      <c r="S56" s="2"/>
    </row>
    <row r="57" spans="1:20" s="1" customFormat="1" ht="35.1" customHeight="1" x14ac:dyDescent="0.45">
      <c r="A57" s="75">
        <v>16</v>
      </c>
      <c r="B57" s="76" t="s">
        <v>92</v>
      </c>
      <c r="C57" s="82">
        <v>9</v>
      </c>
      <c r="D57" s="14">
        <v>0.5</v>
      </c>
      <c r="E57" s="15">
        <f t="shared" si="26"/>
        <v>1474</v>
      </c>
      <c r="F57" s="19"/>
      <c r="G57" s="15"/>
      <c r="H57" s="19"/>
      <c r="I57" s="15"/>
      <c r="J57" s="28"/>
      <c r="K57" s="15"/>
      <c r="L57" s="52"/>
      <c r="M57" s="15"/>
      <c r="N57" s="78">
        <f t="shared" si="24"/>
        <v>737</v>
      </c>
      <c r="O57" s="78">
        <f t="shared" si="22"/>
        <v>8844</v>
      </c>
      <c r="P57" s="79">
        <v>0.2</v>
      </c>
      <c r="Q57" s="2"/>
      <c r="R57" s="2"/>
      <c r="S57" s="2"/>
    </row>
    <row r="58" spans="1:20" s="1" customFormat="1" ht="35.1" customHeight="1" x14ac:dyDescent="0.45">
      <c r="A58" s="75">
        <v>17</v>
      </c>
      <c r="B58" s="76" t="s">
        <v>94</v>
      </c>
      <c r="C58" s="82">
        <v>5</v>
      </c>
      <c r="D58" s="14">
        <v>4</v>
      </c>
      <c r="E58" s="15">
        <v>1253</v>
      </c>
      <c r="F58" s="19"/>
      <c r="G58" s="15"/>
      <c r="H58" s="19"/>
      <c r="I58" s="15"/>
      <c r="J58" s="28"/>
      <c r="K58" s="15"/>
      <c r="L58" s="81"/>
      <c r="M58" s="15"/>
      <c r="N58" s="78">
        <f t="shared" si="24"/>
        <v>5012</v>
      </c>
      <c r="O58" s="78">
        <f t="shared" si="22"/>
        <v>60144</v>
      </c>
      <c r="P58" s="79"/>
      <c r="Q58" s="2"/>
      <c r="R58" s="2"/>
      <c r="S58" s="2"/>
    </row>
    <row r="59" spans="1:20" s="1" customFormat="1" ht="35.1" customHeight="1" x14ac:dyDescent="0.45">
      <c r="A59" s="75">
        <v>18</v>
      </c>
      <c r="B59" s="76" t="s">
        <v>95</v>
      </c>
      <c r="C59" s="82">
        <v>7</v>
      </c>
      <c r="D59" s="14">
        <v>1</v>
      </c>
      <c r="E59" s="15">
        <f t="shared" ref="E59:E60" si="27">ROUND(852*1.54,0)</f>
        <v>1312</v>
      </c>
      <c r="F59" s="19"/>
      <c r="G59" s="15"/>
      <c r="H59" s="19"/>
      <c r="I59" s="15"/>
      <c r="J59" s="28"/>
      <c r="K59" s="15"/>
      <c r="L59" s="81"/>
      <c r="M59" s="15"/>
      <c r="N59" s="78">
        <f t="shared" si="24"/>
        <v>1312</v>
      </c>
      <c r="O59" s="78">
        <f t="shared" si="22"/>
        <v>15744</v>
      </c>
      <c r="P59" s="79"/>
      <c r="Q59" s="2"/>
      <c r="R59" s="2"/>
      <c r="S59" s="2"/>
    </row>
    <row r="60" spans="1:20" s="1" customFormat="1" ht="35.1" customHeight="1" x14ac:dyDescent="0.45">
      <c r="A60" s="75">
        <v>19</v>
      </c>
      <c r="B60" s="76" t="s">
        <v>125</v>
      </c>
      <c r="C60" s="82">
        <v>7</v>
      </c>
      <c r="D60" s="14">
        <v>1</v>
      </c>
      <c r="E60" s="15">
        <f t="shared" si="27"/>
        <v>1312</v>
      </c>
      <c r="F60" s="19"/>
      <c r="G60" s="15"/>
      <c r="H60" s="19"/>
      <c r="I60" s="15"/>
      <c r="J60" s="28"/>
      <c r="K60" s="15"/>
      <c r="L60" s="81"/>
      <c r="M60" s="15"/>
      <c r="N60" s="78">
        <f t="shared" si="24"/>
        <v>1312</v>
      </c>
      <c r="O60" s="78">
        <f t="shared" si="22"/>
        <v>15744</v>
      </c>
      <c r="P60" s="79"/>
      <c r="Q60" s="2"/>
      <c r="R60" s="2"/>
      <c r="S60" s="2"/>
    </row>
    <row r="61" spans="1:20" s="1" customFormat="1" ht="35.1" customHeight="1" x14ac:dyDescent="0.45">
      <c r="A61" s="75">
        <v>20</v>
      </c>
      <c r="B61" s="76" t="s">
        <v>4</v>
      </c>
      <c r="C61" s="82">
        <v>5</v>
      </c>
      <c r="D61" s="14">
        <v>1</v>
      </c>
      <c r="E61" s="15">
        <v>1253</v>
      </c>
      <c r="F61" s="19"/>
      <c r="G61" s="15"/>
      <c r="H61" s="19"/>
      <c r="I61" s="15"/>
      <c r="J61" s="28"/>
      <c r="K61" s="15"/>
      <c r="L61" s="81"/>
      <c r="M61" s="15"/>
      <c r="N61" s="78">
        <f t="shared" si="24"/>
        <v>1253</v>
      </c>
      <c r="O61" s="78">
        <f t="shared" si="22"/>
        <v>15036</v>
      </c>
      <c r="P61" s="79"/>
      <c r="Q61" s="2"/>
      <c r="R61" s="2"/>
      <c r="S61" s="2"/>
    </row>
    <row r="62" spans="1:20" s="1" customFormat="1" ht="35.1" customHeight="1" x14ac:dyDescent="0.45">
      <c r="A62" s="75">
        <v>21</v>
      </c>
      <c r="B62" s="76" t="s">
        <v>10</v>
      </c>
      <c r="C62" s="77">
        <v>7</v>
      </c>
      <c r="D62" s="15">
        <v>1</v>
      </c>
      <c r="E62" s="15">
        <f t="shared" ref="E62:E63" si="28">ROUND(852*1.54,0)</f>
        <v>1312</v>
      </c>
      <c r="F62" s="19"/>
      <c r="G62" s="15"/>
      <c r="H62" s="15"/>
      <c r="I62" s="15"/>
      <c r="J62" s="28"/>
      <c r="K62" s="15"/>
      <c r="L62" s="28"/>
      <c r="M62" s="15"/>
      <c r="N62" s="78">
        <f t="shared" ref="N62:N63" si="29">D62*E62+G62+I62+K62+M62</f>
        <v>1312</v>
      </c>
      <c r="O62" s="78">
        <f t="shared" si="22"/>
        <v>15744</v>
      </c>
      <c r="P62" s="79"/>
      <c r="Q62" s="2"/>
      <c r="R62" s="2"/>
      <c r="S62" s="2"/>
    </row>
    <row r="63" spans="1:20" s="1" customFormat="1" ht="35.1" customHeight="1" x14ac:dyDescent="0.45">
      <c r="A63" s="75">
        <v>22</v>
      </c>
      <c r="B63" s="76" t="s">
        <v>9</v>
      </c>
      <c r="C63" s="77">
        <v>7</v>
      </c>
      <c r="D63" s="15">
        <v>1</v>
      </c>
      <c r="E63" s="15">
        <f t="shared" si="28"/>
        <v>1312</v>
      </c>
      <c r="F63" s="19"/>
      <c r="G63" s="15"/>
      <c r="H63" s="15"/>
      <c r="I63" s="15"/>
      <c r="J63" s="28"/>
      <c r="K63" s="15"/>
      <c r="L63" s="28"/>
      <c r="M63" s="15"/>
      <c r="N63" s="78">
        <f t="shared" si="29"/>
        <v>1312</v>
      </c>
      <c r="O63" s="78">
        <f t="shared" si="22"/>
        <v>15744</v>
      </c>
      <c r="P63" s="79"/>
      <c r="Q63" s="2"/>
      <c r="R63" s="2"/>
      <c r="S63" s="2"/>
    </row>
    <row r="64" spans="1:20" s="1" customFormat="1" ht="40.5" customHeight="1" x14ac:dyDescent="0.5">
      <c r="A64" s="75"/>
      <c r="B64" s="122" t="s">
        <v>41</v>
      </c>
      <c r="C64" s="94"/>
      <c r="D64" s="17">
        <f>SUM(D42:D63)</f>
        <v>23</v>
      </c>
      <c r="E64" s="17">
        <f>D42*E42+D43*E43+D44*E44+D45*E45+D46*E46+D47*E47+D48*E48+D49*E49+D50*E50+D51*E51+D52*E52+D53*E53+D55*E55+D54*E54+D56*E56+D57*E57+D58*E58+D59*E59+D60*E60+D61*E61+D62*E62+D63*E63</f>
        <v>32636.63</v>
      </c>
      <c r="F64" s="17"/>
      <c r="G64" s="17">
        <f>SUM(G42:G63)</f>
        <v>361.2</v>
      </c>
      <c r="H64" s="17"/>
      <c r="I64" s="17">
        <f>SUM(I42:I63)</f>
        <v>903</v>
      </c>
      <c r="J64" s="17"/>
      <c r="K64" s="17"/>
      <c r="L64" s="17"/>
      <c r="M64" s="17"/>
      <c r="N64" s="87">
        <f>SUM(N42:N63)</f>
        <v>33900.83</v>
      </c>
      <c r="O64" s="87">
        <f>SUM(O42:O63)</f>
        <v>406809.96</v>
      </c>
      <c r="P64" s="79"/>
      <c r="Q64" s="2"/>
      <c r="R64" s="2"/>
      <c r="S64" s="2"/>
    </row>
    <row r="65" spans="1:19" s="1" customFormat="1" ht="46.5" customHeight="1" x14ac:dyDescent="0.35">
      <c r="A65" s="153" t="s">
        <v>126</v>
      </c>
      <c r="B65" s="154"/>
      <c r="C65" s="154"/>
      <c r="D65" s="154"/>
      <c r="E65" s="154"/>
      <c r="F65" s="154"/>
      <c r="G65" s="154"/>
      <c r="H65" s="154"/>
      <c r="I65" s="154"/>
      <c r="J65" s="154"/>
      <c r="K65" s="154"/>
      <c r="L65" s="154"/>
      <c r="M65" s="154"/>
      <c r="N65" s="154"/>
      <c r="O65" s="155"/>
      <c r="P65" s="79"/>
      <c r="Q65" s="2"/>
      <c r="R65" s="2"/>
      <c r="S65" s="2"/>
    </row>
    <row r="66" spans="1:19" s="1" customFormat="1" ht="35.1" customHeight="1" x14ac:dyDescent="0.45">
      <c r="A66" s="75">
        <v>1</v>
      </c>
      <c r="B66" s="76" t="s">
        <v>9</v>
      </c>
      <c r="C66" s="82">
        <v>7</v>
      </c>
      <c r="D66" s="14">
        <v>1</v>
      </c>
      <c r="E66" s="15">
        <f t="shared" ref="E66:E67" si="30">ROUND(852*1.54,0)</f>
        <v>1312</v>
      </c>
      <c r="F66" s="15"/>
      <c r="G66" s="15"/>
      <c r="H66" s="15"/>
      <c r="I66" s="15"/>
      <c r="J66" s="15"/>
      <c r="K66" s="15"/>
      <c r="L66" s="81"/>
      <c r="M66" s="15"/>
      <c r="N66" s="78">
        <f>D66*E66+G66+I66+K66+M66</f>
        <v>1312</v>
      </c>
      <c r="O66" s="78">
        <f>N66*12</f>
        <v>15744</v>
      </c>
      <c r="P66" s="79"/>
      <c r="Q66" s="2"/>
      <c r="R66" s="2"/>
      <c r="S66" s="2"/>
    </row>
    <row r="67" spans="1:19" s="1" customFormat="1" ht="35.1" customHeight="1" x14ac:dyDescent="0.45">
      <c r="A67" s="75">
        <v>2</v>
      </c>
      <c r="B67" s="76" t="s">
        <v>10</v>
      </c>
      <c r="C67" s="82">
        <v>7</v>
      </c>
      <c r="D67" s="14">
        <v>1</v>
      </c>
      <c r="E67" s="15">
        <f t="shared" si="30"/>
        <v>1312</v>
      </c>
      <c r="F67" s="15"/>
      <c r="G67" s="15"/>
      <c r="H67" s="15"/>
      <c r="I67" s="15"/>
      <c r="J67" s="15"/>
      <c r="K67" s="15"/>
      <c r="L67" s="81"/>
      <c r="M67" s="15"/>
      <c r="N67" s="78">
        <f t="shared" ref="N67:N69" si="31">D67*E67+G67+I67+K67+M67</f>
        <v>1312</v>
      </c>
      <c r="O67" s="78">
        <f t="shared" ref="O67:O69" si="32">N67*12</f>
        <v>15744</v>
      </c>
      <c r="P67" s="79"/>
      <c r="Q67" s="2"/>
      <c r="R67" s="2"/>
      <c r="S67" s="2"/>
    </row>
    <row r="68" spans="1:19" s="1" customFormat="1" ht="35.1" customHeight="1" x14ac:dyDescent="0.45">
      <c r="A68" s="75">
        <v>3</v>
      </c>
      <c r="B68" s="76" t="s">
        <v>92</v>
      </c>
      <c r="C68" s="82">
        <v>8</v>
      </c>
      <c r="D68" s="14">
        <v>0.5</v>
      </c>
      <c r="E68" s="15">
        <v>1397</v>
      </c>
      <c r="F68" s="19"/>
      <c r="G68" s="15"/>
      <c r="H68" s="19"/>
      <c r="I68" s="15"/>
      <c r="J68" s="28"/>
      <c r="K68" s="15"/>
      <c r="L68" s="52"/>
      <c r="M68" s="15"/>
      <c r="N68" s="78">
        <f t="shared" si="31"/>
        <v>698.5</v>
      </c>
      <c r="O68" s="78">
        <f t="shared" si="32"/>
        <v>8382</v>
      </c>
      <c r="P68" s="79">
        <v>0.3</v>
      </c>
      <c r="Q68" s="2"/>
      <c r="R68" s="2"/>
      <c r="S68" s="2"/>
    </row>
    <row r="69" spans="1:19" s="1" customFormat="1" ht="35.1" customHeight="1" x14ac:dyDescent="0.45">
      <c r="A69" s="75">
        <v>4</v>
      </c>
      <c r="B69" s="76" t="s">
        <v>5</v>
      </c>
      <c r="C69" s="95">
        <v>5</v>
      </c>
      <c r="D69" s="14">
        <v>1</v>
      </c>
      <c r="E69" s="15">
        <v>1253</v>
      </c>
      <c r="F69" s="15"/>
      <c r="G69" s="15"/>
      <c r="H69" s="15"/>
      <c r="I69" s="15"/>
      <c r="J69" s="15"/>
      <c r="K69" s="15"/>
      <c r="L69" s="81"/>
      <c r="M69" s="15"/>
      <c r="N69" s="78">
        <f t="shared" si="31"/>
        <v>1253</v>
      </c>
      <c r="O69" s="78">
        <f t="shared" si="32"/>
        <v>15036</v>
      </c>
      <c r="P69" s="79"/>
      <c r="Q69" s="2"/>
      <c r="R69" s="2"/>
      <c r="S69" s="2"/>
    </row>
    <row r="70" spans="1:19" s="1" customFormat="1" ht="39" customHeight="1" x14ac:dyDescent="0.5">
      <c r="A70" s="75"/>
      <c r="B70" s="91" t="s">
        <v>42</v>
      </c>
      <c r="C70" s="86"/>
      <c r="D70" s="17">
        <f>SUM(D66:D69)</f>
        <v>3.5</v>
      </c>
      <c r="E70" s="17">
        <f>D66*E66+D67*E67+D69*E69+D68*E68</f>
        <v>4575.5</v>
      </c>
      <c r="F70" s="17"/>
      <c r="G70" s="17"/>
      <c r="H70" s="17"/>
      <c r="I70" s="17"/>
      <c r="J70" s="17"/>
      <c r="K70" s="17"/>
      <c r="L70" s="17"/>
      <c r="M70" s="17"/>
      <c r="N70" s="87">
        <f>SUM(N66:N69)</f>
        <v>4575.5</v>
      </c>
      <c r="O70" s="87">
        <f>SUM(O66:O69)</f>
        <v>54906</v>
      </c>
      <c r="P70" s="79"/>
      <c r="Q70" s="2"/>
      <c r="R70" s="2"/>
      <c r="S70" s="2"/>
    </row>
    <row r="71" spans="1:19" s="1" customFormat="1" ht="38.25" customHeight="1" x14ac:dyDescent="0.5">
      <c r="A71" s="75"/>
      <c r="B71" s="91" t="s">
        <v>43</v>
      </c>
      <c r="C71" s="96"/>
      <c r="D71" s="17">
        <f>D64+D70</f>
        <v>26.5</v>
      </c>
      <c r="E71" s="17">
        <f>E64+E70</f>
        <v>37212.129999999997</v>
      </c>
      <c r="F71" s="17"/>
      <c r="G71" s="17">
        <f>G64+G70</f>
        <v>361.2</v>
      </c>
      <c r="H71" s="17"/>
      <c r="I71" s="17">
        <f>I64+I70</f>
        <v>903</v>
      </c>
      <c r="J71" s="17"/>
      <c r="K71" s="17"/>
      <c r="L71" s="17"/>
      <c r="M71" s="17"/>
      <c r="N71" s="87">
        <f>N64+N70</f>
        <v>38476.33</v>
      </c>
      <c r="O71" s="87">
        <f>O64+O70</f>
        <v>461715.96</v>
      </c>
      <c r="P71" s="79"/>
      <c r="Q71" s="2"/>
      <c r="R71" s="2"/>
      <c r="S71" s="2"/>
    </row>
    <row r="72" spans="1:19" s="1" customFormat="1" ht="50.25" customHeight="1" x14ac:dyDescent="0.35">
      <c r="A72" s="153" t="s">
        <v>44</v>
      </c>
      <c r="B72" s="154"/>
      <c r="C72" s="154"/>
      <c r="D72" s="154"/>
      <c r="E72" s="154"/>
      <c r="F72" s="154"/>
      <c r="G72" s="154"/>
      <c r="H72" s="154"/>
      <c r="I72" s="154"/>
      <c r="J72" s="154"/>
      <c r="K72" s="154"/>
      <c r="L72" s="154"/>
      <c r="M72" s="154"/>
      <c r="N72" s="154"/>
      <c r="O72" s="155"/>
      <c r="P72" s="79"/>
      <c r="Q72" s="2"/>
      <c r="R72" s="2"/>
      <c r="S72" s="2"/>
    </row>
    <row r="73" spans="1:19" s="1" customFormat="1" ht="35.1" customHeight="1" x14ac:dyDescent="0.45">
      <c r="A73" s="75">
        <v>1</v>
      </c>
      <c r="B73" s="76" t="s">
        <v>6</v>
      </c>
      <c r="C73" s="77">
        <v>1</v>
      </c>
      <c r="D73" s="14">
        <v>1</v>
      </c>
      <c r="E73" s="15">
        <v>1218</v>
      </c>
      <c r="F73" s="15"/>
      <c r="G73" s="15"/>
      <c r="H73" s="15"/>
      <c r="I73" s="15"/>
      <c r="J73" s="15"/>
      <c r="K73" s="15"/>
      <c r="L73" s="81"/>
      <c r="M73" s="15"/>
      <c r="N73" s="78">
        <f>D73*E73+G73+I73+K73+M73</f>
        <v>1218</v>
      </c>
      <c r="O73" s="78">
        <f>N73*12</f>
        <v>14616</v>
      </c>
      <c r="P73" s="79"/>
      <c r="Q73" s="2"/>
      <c r="R73" s="2"/>
      <c r="S73" s="2"/>
    </row>
    <row r="74" spans="1:19" s="1" customFormat="1" ht="35.1" customHeight="1" x14ac:dyDescent="0.5">
      <c r="A74" s="75">
        <v>2</v>
      </c>
      <c r="B74" s="76" t="s">
        <v>76</v>
      </c>
      <c r="C74" s="82">
        <v>1</v>
      </c>
      <c r="D74" s="14">
        <v>3</v>
      </c>
      <c r="E74" s="15">
        <v>1218</v>
      </c>
      <c r="F74" s="15"/>
      <c r="G74" s="15"/>
      <c r="H74" s="15"/>
      <c r="I74" s="15"/>
      <c r="J74" s="15"/>
      <c r="K74" s="15"/>
      <c r="L74" s="92"/>
      <c r="M74" s="17"/>
      <c r="N74" s="78">
        <f t="shared" ref="N74:N82" si="33">D74*E74+G74+I74+K74+M74</f>
        <v>3654</v>
      </c>
      <c r="O74" s="78">
        <f t="shared" ref="O74:O82" si="34">N74*12</f>
        <v>43848</v>
      </c>
      <c r="P74" s="79"/>
      <c r="Q74" s="2"/>
      <c r="R74" s="2"/>
      <c r="S74" s="2"/>
    </row>
    <row r="75" spans="1:19" s="1" customFormat="1" ht="35.1" customHeight="1" x14ac:dyDescent="0.45">
      <c r="A75" s="75">
        <v>3</v>
      </c>
      <c r="B75" s="76" t="s">
        <v>77</v>
      </c>
      <c r="C75" s="77">
        <v>2</v>
      </c>
      <c r="D75" s="14">
        <v>1</v>
      </c>
      <c r="E75" s="15">
        <v>1223</v>
      </c>
      <c r="F75" s="15"/>
      <c r="G75" s="15"/>
      <c r="H75" s="15"/>
      <c r="I75" s="15"/>
      <c r="J75" s="15"/>
      <c r="K75" s="15"/>
      <c r="L75" s="81"/>
      <c r="M75" s="15"/>
      <c r="N75" s="78">
        <f t="shared" si="33"/>
        <v>1223</v>
      </c>
      <c r="O75" s="78">
        <f t="shared" si="34"/>
        <v>14676</v>
      </c>
      <c r="P75" s="79"/>
      <c r="Q75" s="2"/>
      <c r="R75" s="2"/>
      <c r="S75" s="2"/>
    </row>
    <row r="76" spans="1:19" s="1" customFormat="1" ht="69.95" customHeight="1" x14ac:dyDescent="0.45">
      <c r="A76" s="75">
        <v>4</v>
      </c>
      <c r="B76" s="76" t="s">
        <v>97</v>
      </c>
      <c r="C76" s="77">
        <v>4</v>
      </c>
      <c r="D76" s="14">
        <v>0.5</v>
      </c>
      <c r="E76" s="15">
        <v>1243</v>
      </c>
      <c r="F76" s="15"/>
      <c r="G76" s="15"/>
      <c r="H76" s="15"/>
      <c r="I76" s="15"/>
      <c r="J76" s="15"/>
      <c r="K76" s="15"/>
      <c r="L76" s="81"/>
      <c r="M76" s="15"/>
      <c r="N76" s="78">
        <f t="shared" si="33"/>
        <v>621.5</v>
      </c>
      <c r="O76" s="78">
        <f t="shared" si="34"/>
        <v>7458</v>
      </c>
      <c r="P76" s="79"/>
      <c r="Q76" s="2"/>
      <c r="R76" s="2"/>
      <c r="S76" s="2"/>
    </row>
    <row r="77" spans="1:19" s="1" customFormat="1" ht="35.1" customHeight="1" x14ac:dyDescent="0.45">
      <c r="A77" s="75">
        <v>5</v>
      </c>
      <c r="B77" s="76" t="s">
        <v>73</v>
      </c>
      <c r="C77" s="77">
        <v>2</v>
      </c>
      <c r="D77" s="14">
        <v>1</v>
      </c>
      <c r="E77" s="15">
        <v>1223</v>
      </c>
      <c r="F77" s="15"/>
      <c r="G77" s="15"/>
      <c r="H77" s="15"/>
      <c r="I77" s="15"/>
      <c r="J77" s="15"/>
      <c r="K77" s="15"/>
      <c r="L77" s="81"/>
      <c r="M77" s="15"/>
      <c r="N77" s="78">
        <f t="shared" si="33"/>
        <v>1223</v>
      </c>
      <c r="O77" s="78">
        <f t="shared" si="34"/>
        <v>14676</v>
      </c>
      <c r="P77" s="79"/>
      <c r="Q77" s="2"/>
      <c r="R77" s="2"/>
      <c r="S77" s="2"/>
    </row>
    <row r="78" spans="1:19" s="1" customFormat="1" ht="35.1" customHeight="1" x14ac:dyDescent="0.45">
      <c r="A78" s="75">
        <v>6</v>
      </c>
      <c r="B78" s="76" t="s">
        <v>74</v>
      </c>
      <c r="C78" s="77">
        <v>4</v>
      </c>
      <c r="D78" s="14">
        <v>0.5</v>
      </c>
      <c r="E78" s="15">
        <v>1243</v>
      </c>
      <c r="F78" s="15"/>
      <c r="G78" s="15"/>
      <c r="H78" s="15"/>
      <c r="I78" s="15"/>
      <c r="J78" s="15"/>
      <c r="K78" s="15"/>
      <c r="L78" s="81"/>
      <c r="M78" s="15"/>
      <c r="N78" s="78">
        <f t="shared" si="33"/>
        <v>621.5</v>
      </c>
      <c r="O78" s="78">
        <f t="shared" si="34"/>
        <v>7458</v>
      </c>
      <c r="P78" s="79"/>
      <c r="Q78" s="2"/>
      <c r="R78" s="2"/>
      <c r="S78" s="2"/>
    </row>
    <row r="79" spans="1:19" s="1" customFormat="1" ht="35.1" customHeight="1" x14ac:dyDescent="0.45">
      <c r="A79" s="75">
        <v>7</v>
      </c>
      <c r="B79" s="76" t="s">
        <v>75</v>
      </c>
      <c r="C79" s="77">
        <v>3</v>
      </c>
      <c r="D79" s="14">
        <v>3</v>
      </c>
      <c r="E79" s="15">
        <v>1233</v>
      </c>
      <c r="F79" s="15"/>
      <c r="G79" s="15"/>
      <c r="H79" s="15"/>
      <c r="I79" s="15"/>
      <c r="J79" s="15"/>
      <c r="K79" s="15"/>
      <c r="L79" s="81"/>
      <c r="M79" s="15"/>
      <c r="N79" s="78">
        <f t="shared" si="33"/>
        <v>3699</v>
      </c>
      <c r="O79" s="78">
        <f t="shared" si="34"/>
        <v>44388</v>
      </c>
      <c r="P79" s="79"/>
      <c r="Q79" s="2"/>
      <c r="R79" s="2"/>
      <c r="S79" s="2"/>
    </row>
    <row r="80" spans="1:19" s="1" customFormat="1" ht="35.1" customHeight="1" x14ac:dyDescent="0.45">
      <c r="A80" s="75">
        <v>8</v>
      </c>
      <c r="B80" s="76" t="s">
        <v>8</v>
      </c>
      <c r="C80" s="95">
        <v>2</v>
      </c>
      <c r="D80" s="14">
        <v>1</v>
      </c>
      <c r="E80" s="15">
        <v>1223</v>
      </c>
      <c r="F80" s="15"/>
      <c r="G80" s="15"/>
      <c r="H80" s="15"/>
      <c r="I80" s="15"/>
      <c r="J80" s="15"/>
      <c r="K80" s="15"/>
      <c r="L80" s="97"/>
      <c r="M80" s="15"/>
      <c r="N80" s="78">
        <f t="shared" si="33"/>
        <v>1223</v>
      </c>
      <c r="O80" s="78">
        <f t="shared" si="34"/>
        <v>14676</v>
      </c>
      <c r="P80" s="79"/>
      <c r="Q80" s="2"/>
      <c r="R80" s="2"/>
      <c r="S80" s="2"/>
    </row>
    <row r="81" spans="1:19" s="1" customFormat="1" ht="35.1" customHeight="1" x14ac:dyDescent="0.45">
      <c r="A81" s="75">
        <v>9</v>
      </c>
      <c r="B81" s="76" t="s">
        <v>98</v>
      </c>
      <c r="C81" s="95">
        <v>2</v>
      </c>
      <c r="D81" s="14">
        <v>1</v>
      </c>
      <c r="E81" s="15">
        <v>1223</v>
      </c>
      <c r="F81" s="15"/>
      <c r="G81" s="15"/>
      <c r="H81" s="15"/>
      <c r="I81" s="15"/>
      <c r="J81" s="15"/>
      <c r="K81" s="15"/>
      <c r="L81" s="97"/>
      <c r="M81" s="15"/>
      <c r="N81" s="78">
        <f t="shared" si="33"/>
        <v>1223</v>
      </c>
      <c r="O81" s="78">
        <f t="shared" si="34"/>
        <v>14676</v>
      </c>
      <c r="P81" s="79"/>
      <c r="Q81" s="2"/>
      <c r="R81" s="2"/>
      <c r="S81" s="2"/>
    </row>
    <row r="82" spans="1:19" s="1" customFormat="1" ht="35.1" customHeight="1" x14ac:dyDescent="0.5">
      <c r="A82" s="75">
        <v>10</v>
      </c>
      <c r="B82" s="76" t="s">
        <v>99</v>
      </c>
      <c r="C82" s="95">
        <v>2</v>
      </c>
      <c r="D82" s="14">
        <v>14</v>
      </c>
      <c r="E82" s="15">
        <v>1223</v>
      </c>
      <c r="F82" s="15"/>
      <c r="G82" s="17"/>
      <c r="H82" s="17"/>
      <c r="I82" s="17"/>
      <c r="J82" s="17"/>
      <c r="K82" s="17"/>
      <c r="L82" s="52"/>
      <c r="M82" s="15"/>
      <c r="N82" s="78">
        <f t="shared" si="33"/>
        <v>17122</v>
      </c>
      <c r="O82" s="78">
        <f t="shared" si="34"/>
        <v>205464</v>
      </c>
      <c r="P82" s="79"/>
      <c r="Q82" s="2"/>
      <c r="R82" s="2"/>
      <c r="S82" s="2"/>
    </row>
    <row r="83" spans="1:19" s="1" customFormat="1" ht="40.5" customHeight="1" x14ac:dyDescent="0.5">
      <c r="A83" s="75"/>
      <c r="B83" s="91" t="s">
        <v>41</v>
      </c>
      <c r="C83" s="95"/>
      <c r="D83" s="17">
        <f>SUM(D73:D82)</f>
        <v>26</v>
      </c>
      <c r="E83" s="17">
        <f>D73*E73+D74*E74+D75*E75+D76*E76+D77*E77+D78*E78+D79*E79+D80*E80+D81*E81+D82*E82</f>
        <v>31828</v>
      </c>
      <c r="F83" s="17"/>
      <c r="G83" s="17"/>
      <c r="H83" s="17"/>
      <c r="I83" s="17"/>
      <c r="J83" s="17"/>
      <c r="K83" s="17"/>
      <c r="L83" s="17"/>
      <c r="M83" s="17"/>
      <c r="N83" s="87">
        <f>SUM(N73:N82)</f>
        <v>31828</v>
      </c>
      <c r="O83" s="87">
        <f>SUM(O73:O82)</f>
        <v>381936</v>
      </c>
      <c r="P83" s="79"/>
      <c r="Q83" s="2"/>
      <c r="R83" s="2"/>
      <c r="S83" s="2"/>
    </row>
    <row r="84" spans="1:19" s="1" customFormat="1" ht="45.75" customHeight="1" x14ac:dyDescent="0.35">
      <c r="A84" s="153" t="s">
        <v>127</v>
      </c>
      <c r="B84" s="154"/>
      <c r="C84" s="154"/>
      <c r="D84" s="154"/>
      <c r="E84" s="154"/>
      <c r="F84" s="154"/>
      <c r="G84" s="154"/>
      <c r="H84" s="154"/>
      <c r="I84" s="154"/>
      <c r="J84" s="154"/>
      <c r="K84" s="154"/>
      <c r="L84" s="154"/>
      <c r="M84" s="154"/>
      <c r="N84" s="154"/>
      <c r="O84" s="155"/>
      <c r="P84" s="79"/>
      <c r="Q84" s="2"/>
      <c r="R84" s="2"/>
      <c r="S84" s="2"/>
    </row>
    <row r="85" spans="1:19" s="1" customFormat="1" ht="35.1" customHeight="1" x14ac:dyDescent="0.45">
      <c r="A85" s="75">
        <v>1</v>
      </c>
      <c r="B85" s="76" t="s">
        <v>66</v>
      </c>
      <c r="C85" s="77">
        <v>4</v>
      </c>
      <c r="D85" s="14">
        <v>0.5</v>
      </c>
      <c r="E85" s="15">
        <v>1243</v>
      </c>
      <c r="F85" s="15"/>
      <c r="G85" s="15"/>
      <c r="H85" s="15"/>
      <c r="I85" s="15"/>
      <c r="J85" s="15"/>
      <c r="K85" s="15"/>
      <c r="L85" s="81"/>
      <c r="M85" s="15"/>
      <c r="N85" s="78">
        <f>D85*E85+G85+I85+K85+M85</f>
        <v>621.5</v>
      </c>
      <c r="O85" s="78">
        <f>N85*12</f>
        <v>7458</v>
      </c>
      <c r="P85" s="79"/>
      <c r="Q85" s="2"/>
      <c r="R85" s="2"/>
      <c r="S85" s="2"/>
    </row>
    <row r="86" spans="1:19" s="1" customFormat="1" ht="35.1" customHeight="1" x14ac:dyDescent="0.45">
      <c r="A86" s="75">
        <v>2</v>
      </c>
      <c r="B86" s="76" t="s">
        <v>78</v>
      </c>
      <c r="C86" s="77">
        <v>3</v>
      </c>
      <c r="D86" s="14">
        <v>3</v>
      </c>
      <c r="E86" s="15">
        <v>1233</v>
      </c>
      <c r="F86" s="15"/>
      <c r="G86" s="15"/>
      <c r="H86" s="15"/>
      <c r="I86" s="15"/>
      <c r="J86" s="15"/>
      <c r="K86" s="15"/>
      <c r="L86" s="81"/>
      <c r="M86" s="15"/>
      <c r="N86" s="78">
        <f t="shared" ref="N86:N89" si="35">D86*E86+G86+I86+K86+M86</f>
        <v>3699</v>
      </c>
      <c r="O86" s="78">
        <f t="shared" ref="O86:O89" si="36">N86*12</f>
        <v>44388</v>
      </c>
      <c r="P86" s="79"/>
      <c r="Q86" s="2"/>
      <c r="R86" s="2"/>
      <c r="S86" s="2"/>
    </row>
    <row r="87" spans="1:19" s="1" customFormat="1" ht="69.95" customHeight="1" x14ac:dyDescent="0.45">
      <c r="A87" s="75">
        <v>3</v>
      </c>
      <c r="B87" s="76" t="s">
        <v>100</v>
      </c>
      <c r="C87" s="77">
        <v>4</v>
      </c>
      <c r="D87" s="14">
        <v>0.5</v>
      </c>
      <c r="E87" s="15">
        <v>1243</v>
      </c>
      <c r="F87" s="15"/>
      <c r="G87" s="15"/>
      <c r="H87" s="15"/>
      <c r="I87" s="15"/>
      <c r="J87" s="15"/>
      <c r="K87" s="15"/>
      <c r="L87" s="81"/>
      <c r="M87" s="15"/>
      <c r="N87" s="78">
        <f t="shared" si="35"/>
        <v>621.5</v>
      </c>
      <c r="O87" s="78">
        <f t="shared" si="36"/>
        <v>7458</v>
      </c>
      <c r="P87" s="79"/>
      <c r="Q87" s="2"/>
      <c r="R87" s="2"/>
      <c r="S87" s="2"/>
    </row>
    <row r="88" spans="1:19" s="1" customFormat="1" ht="35.1" customHeight="1" x14ac:dyDescent="0.45">
      <c r="A88" s="75">
        <v>4</v>
      </c>
      <c r="B88" s="76" t="s">
        <v>76</v>
      </c>
      <c r="C88" s="82">
        <v>1</v>
      </c>
      <c r="D88" s="14">
        <v>3</v>
      </c>
      <c r="E88" s="15">
        <v>1218</v>
      </c>
      <c r="F88" s="15"/>
      <c r="G88" s="15"/>
      <c r="H88" s="15"/>
      <c r="I88" s="15"/>
      <c r="J88" s="15"/>
      <c r="K88" s="15"/>
      <c r="L88" s="81"/>
      <c r="M88" s="15"/>
      <c r="N88" s="78">
        <f t="shared" si="35"/>
        <v>3654</v>
      </c>
      <c r="O88" s="78">
        <f t="shared" si="36"/>
        <v>43848</v>
      </c>
      <c r="P88" s="79"/>
      <c r="Q88" s="2"/>
      <c r="R88" s="2"/>
      <c r="S88" s="2"/>
    </row>
    <row r="89" spans="1:19" s="1" customFormat="1" ht="35.1" customHeight="1" x14ac:dyDescent="0.45">
      <c r="A89" s="75">
        <v>5</v>
      </c>
      <c r="B89" s="76" t="s">
        <v>99</v>
      </c>
      <c r="C89" s="77">
        <v>2</v>
      </c>
      <c r="D89" s="14">
        <v>4</v>
      </c>
      <c r="E89" s="15">
        <v>1223</v>
      </c>
      <c r="F89" s="15"/>
      <c r="G89" s="15"/>
      <c r="H89" s="15"/>
      <c r="I89" s="15"/>
      <c r="J89" s="15"/>
      <c r="K89" s="15"/>
      <c r="L89" s="52"/>
      <c r="M89" s="15"/>
      <c r="N89" s="78">
        <f t="shared" si="35"/>
        <v>4892</v>
      </c>
      <c r="O89" s="78">
        <f t="shared" si="36"/>
        <v>58704</v>
      </c>
      <c r="P89" s="79"/>
      <c r="Q89" s="2"/>
      <c r="R89" s="2"/>
      <c r="S89" s="2"/>
    </row>
    <row r="90" spans="1:19" s="1" customFormat="1" ht="38.25" customHeight="1" x14ac:dyDescent="0.5">
      <c r="A90" s="75"/>
      <c r="B90" s="91" t="s">
        <v>42</v>
      </c>
      <c r="C90" s="77"/>
      <c r="D90" s="17">
        <f>SUM(D85:D89)</f>
        <v>11</v>
      </c>
      <c r="E90" s="17">
        <f>D85*E85+D86*E86+D87*E87+D88*E88+D89*E89</f>
        <v>13488</v>
      </c>
      <c r="F90" s="17"/>
      <c r="G90" s="17"/>
      <c r="H90" s="17"/>
      <c r="I90" s="17"/>
      <c r="J90" s="17"/>
      <c r="K90" s="17"/>
      <c r="L90" s="17"/>
      <c r="M90" s="17"/>
      <c r="N90" s="87">
        <f>SUM(N85:N89)</f>
        <v>13488</v>
      </c>
      <c r="O90" s="87">
        <f>SUM(O85:O89)</f>
        <v>161856</v>
      </c>
      <c r="P90" s="79"/>
      <c r="Q90" s="2"/>
      <c r="R90" s="2"/>
      <c r="S90" s="2"/>
    </row>
    <row r="91" spans="1:19" s="1" customFormat="1" ht="39.75" customHeight="1" x14ac:dyDescent="0.5">
      <c r="A91" s="75"/>
      <c r="B91" s="91" t="s">
        <v>45</v>
      </c>
      <c r="C91" s="96"/>
      <c r="D91" s="17">
        <f>D90+D83</f>
        <v>37</v>
      </c>
      <c r="E91" s="17">
        <f t="shared" ref="E91" si="37">E90+E83</f>
        <v>45316</v>
      </c>
      <c r="F91" s="17"/>
      <c r="G91" s="17"/>
      <c r="H91" s="17"/>
      <c r="I91" s="17"/>
      <c r="J91" s="17"/>
      <c r="K91" s="17"/>
      <c r="L91" s="17"/>
      <c r="M91" s="17"/>
      <c r="N91" s="87">
        <f>N83+N90</f>
        <v>45316</v>
      </c>
      <c r="O91" s="87">
        <f>O83+O90</f>
        <v>543792</v>
      </c>
      <c r="P91" s="79"/>
      <c r="Q91" s="2"/>
      <c r="R91" s="2"/>
      <c r="S91" s="2"/>
    </row>
    <row r="92" spans="1:19" s="1" customFormat="1" ht="43.5" customHeight="1" x14ac:dyDescent="0.5">
      <c r="A92" s="75"/>
      <c r="B92" s="91" t="s">
        <v>46</v>
      </c>
      <c r="C92" s="96"/>
      <c r="D92" s="17">
        <f>D91+D71+D40+D37</f>
        <v>79.5</v>
      </c>
      <c r="E92" s="17">
        <f>E91+E71+E40+E37</f>
        <v>110720.03</v>
      </c>
      <c r="F92" s="17"/>
      <c r="G92" s="17">
        <f>G91+G71+G40+G37</f>
        <v>7030.01</v>
      </c>
      <c r="H92" s="17"/>
      <c r="I92" s="17">
        <f>I91+I71+I40+I37</f>
        <v>903</v>
      </c>
      <c r="J92" s="17"/>
      <c r="K92" s="17">
        <f>K91+K71+K40+K37</f>
        <v>5638.39</v>
      </c>
      <c r="L92" s="17"/>
      <c r="M92" s="17">
        <f>M91+M71+M40+M37</f>
        <v>879.49</v>
      </c>
      <c r="N92" s="60">
        <f>N91+N71+N40+N37</f>
        <v>125170.93</v>
      </c>
      <c r="O92" s="87">
        <f>O91+O71+O40+O37</f>
        <v>1502051.16</v>
      </c>
      <c r="P92" s="79"/>
      <c r="Q92" s="2"/>
      <c r="R92" s="2"/>
      <c r="S92" s="2"/>
    </row>
    <row r="93" spans="1:19" s="1" customFormat="1" ht="69" customHeight="1" x14ac:dyDescent="0.5">
      <c r="A93" s="139" t="s">
        <v>104</v>
      </c>
      <c r="B93" s="135" t="s">
        <v>124</v>
      </c>
      <c r="C93" s="77"/>
      <c r="D93" s="99">
        <v>59.2</v>
      </c>
      <c r="E93" s="15"/>
      <c r="F93" s="14"/>
      <c r="G93" s="15"/>
      <c r="H93" s="15"/>
      <c r="I93" s="15"/>
      <c r="J93" s="15"/>
      <c r="K93" s="15"/>
      <c r="L93" s="14"/>
      <c r="M93" s="15"/>
      <c r="N93" s="64">
        <f>188295.35-N95-N94</f>
        <v>146477.9</v>
      </c>
      <c r="O93" s="64">
        <f>N93*12</f>
        <v>1757734.8</v>
      </c>
      <c r="P93" s="79"/>
      <c r="Q93" s="2"/>
      <c r="R93" s="2"/>
      <c r="S93" s="2"/>
    </row>
    <row r="94" spans="1:19" s="1" customFormat="1" ht="69" customHeight="1" x14ac:dyDescent="0.45">
      <c r="A94" s="139" t="s">
        <v>111</v>
      </c>
      <c r="B94" s="135" t="s">
        <v>47</v>
      </c>
      <c r="C94" s="77"/>
      <c r="D94" s="101"/>
      <c r="E94" s="15"/>
      <c r="F94" s="14"/>
      <c r="G94" s="15"/>
      <c r="H94" s="15"/>
      <c r="I94" s="15"/>
      <c r="J94" s="15"/>
      <c r="K94" s="15"/>
      <c r="L94" s="14"/>
      <c r="M94" s="15"/>
      <c r="N94" s="121">
        <v>22683.59</v>
      </c>
      <c r="O94" s="64">
        <f t="shared" ref="O94:O95" si="38">N94*12</f>
        <v>272203.08</v>
      </c>
      <c r="P94" s="79"/>
      <c r="Q94" s="2"/>
      <c r="R94" s="2"/>
      <c r="S94" s="2"/>
    </row>
    <row r="95" spans="1:19" s="1" customFormat="1" ht="108.95" customHeight="1" x14ac:dyDescent="0.5">
      <c r="A95" s="139" t="s">
        <v>112</v>
      </c>
      <c r="B95" s="135" t="s">
        <v>48</v>
      </c>
      <c r="C95" s="96"/>
      <c r="D95" s="99"/>
      <c r="E95" s="15"/>
      <c r="F95" s="16"/>
      <c r="G95" s="17"/>
      <c r="H95" s="17"/>
      <c r="I95" s="17"/>
      <c r="J95" s="17"/>
      <c r="K95" s="17"/>
      <c r="L95" s="14"/>
      <c r="M95" s="15"/>
      <c r="N95" s="64">
        <v>19133.86</v>
      </c>
      <c r="O95" s="64">
        <f t="shared" si="38"/>
        <v>229606.32</v>
      </c>
      <c r="P95" s="79"/>
      <c r="Q95" s="2"/>
      <c r="R95" s="2"/>
      <c r="S95" s="2"/>
    </row>
    <row r="96" spans="1:19" s="1" customFormat="1" ht="108.95" customHeight="1" x14ac:dyDescent="0.5">
      <c r="A96" s="139" t="s">
        <v>68</v>
      </c>
      <c r="B96" s="102" t="s">
        <v>30</v>
      </c>
      <c r="C96" s="103"/>
      <c r="D96" s="103"/>
      <c r="E96" s="103"/>
      <c r="F96" s="103"/>
      <c r="G96" s="103"/>
      <c r="H96" s="103"/>
      <c r="I96" s="103"/>
      <c r="J96" s="103"/>
      <c r="K96" s="17"/>
      <c r="L96" s="17"/>
      <c r="M96" s="17"/>
      <c r="N96" s="64"/>
      <c r="O96" s="64">
        <v>52196.01</v>
      </c>
      <c r="P96" s="79"/>
      <c r="Q96" s="2"/>
      <c r="R96" s="2"/>
      <c r="S96" s="2"/>
    </row>
    <row r="97" spans="1:19" s="1" customFormat="1" ht="69" customHeight="1" x14ac:dyDescent="0.5">
      <c r="A97" s="139" t="s">
        <v>69</v>
      </c>
      <c r="B97" s="102" t="s">
        <v>31</v>
      </c>
      <c r="C97" s="103"/>
      <c r="D97" s="103"/>
      <c r="E97" s="103"/>
      <c r="F97" s="103"/>
      <c r="G97" s="103"/>
      <c r="H97" s="103"/>
      <c r="I97" s="103"/>
      <c r="J97" s="103"/>
      <c r="K97" s="17"/>
      <c r="L97" s="17"/>
      <c r="M97" s="17"/>
      <c r="N97" s="64"/>
      <c r="O97" s="64">
        <v>1452.73</v>
      </c>
      <c r="P97" s="79"/>
      <c r="Q97" s="2"/>
      <c r="R97" s="2"/>
      <c r="S97" s="2"/>
    </row>
    <row r="98" spans="1:19" s="1" customFormat="1" ht="69" customHeight="1" x14ac:dyDescent="0.5">
      <c r="A98" s="139" t="s">
        <v>70</v>
      </c>
      <c r="B98" s="102" t="s">
        <v>49</v>
      </c>
      <c r="C98" s="103"/>
      <c r="D98" s="103"/>
      <c r="E98" s="103"/>
      <c r="F98" s="103"/>
      <c r="G98" s="103"/>
      <c r="H98" s="103"/>
      <c r="I98" s="103"/>
      <c r="J98" s="103"/>
      <c r="K98" s="17"/>
      <c r="L98" s="17"/>
      <c r="M98" s="17"/>
      <c r="N98" s="64"/>
      <c r="O98" s="64">
        <v>4017</v>
      </c>
      <c r="P98" s="79"/>
      <c r="Q98" s="2"/>
      <c r="R98" s="2"/>
      <c r="S98" s="2"/>
    </row>
    <row r="99" spans="1:19" s="1" customFormat="1" ht="39.950000000000003" customHeight="1" x14ac:dyDescent="0.5">
      <c r="A99" s="139" t="s">
        <v>71</v>
      </c>
      <c r="B99" s="102" t="s">
        <v>72</v>
      </c>
      <c r="C99" s="104"/>
      <c r="D99" s="104"/>
      <c r="E99" s="104"/>
      <c r="F99" s="104"/>
      <c r="G99" s="104"/>
      <c r="H99" s="104"/>
      <c r="I99" s="104"/>
      <c r="J99" s="104"/>
      <c r="K99" s="17"/>
      <c r="L99" s="17"/>
      <c r="M99" s="17"/>
      <c r="N99" s="64"/>
      <c r="O99" s="64">
        <v>238.9</v>
      </c>
      <c r="P99" s="79"/>
      <c r="Q99" s="2"/>
      <c r="R99" s="2"/>
      <c r="S99" s="2"/>
    </row>
    <row r="100" spans="1:19" s="1" customFormat="1" ht="57" customHeight="1" x14ac:dyDescent="0.5">
      <c r="A100" s="100"/>
      <c r="B100" s="91" t="s">
        <v>50</v>
      </c>
      <c r="C100" s="86"/>
      <c r="D100" s="17">
        <f>D92+D93</f>
        <v>138.69999999999999</v>
      </c>
      <c r="E100" s="17">
        <f>E92+E93+E94+E95</f>
        <v>110720.03</v>
      </c>
      <c r="F100" s="15"/>
      <c r="G100" s="17">
        <f>G92</f>
        <v>7030.01</v>
      </c>
      <c r="H100" s="17"/>
      <c r="I100" s="17">
        <f>I92</f>
        <v>903</v>
      </c>
      <c r="J100" s="17"/>
      <c r="K100" s="17">
        <f>K92</f>
        <v>5638.39</v>
      </c>
      <c r="L100" s="17"/>
      <c r="M100" s="17">
        <f>M92</f>
        <v>879.49</v>
      </c>
      <c r="N100" s="60">
        <f>SUM(N92:N95)</f>
        <v>313466.28000000003</v>
      </c>
      <c r="O100" s="60">
        <f>SUM(O92:O99)</f>
        <v>3819500</v>
      </c>
      <c r="P100" s="79"/>
      <c r="Q100" s="2"/>
      <c r="R100" s="2"/>
      <c r="S100" s="2"/>
    </row>
    <row r="101" spans="1:19" s="1" customFormat="1" ht="39.75" customHeight="1" x14ac:dyDescent="0.35">
      <c r="A101" s="156" t="s">
        <v>51</v>
      </c>
      <c r="B101" s="157"/>
      <c r="C101" s="157"/>
      <c r="D101" s="157"/>
      <c r="E101" s="157"/>
      <c r="F101" s="157"/>
      <c r="G101" s="157"/>
      <c r="H101" s="157"/>
      <c r="I101" s="157"/>
      <c r="J101" s="157"/>
      <c r="K101" s="157"/>
      <c r="L101" s="157"/>
      <c r="M101" s="157"/>
      <c r="N101" s="157"/>
      <c r="O101" s="158"/>
      <c r="P101" s="79"/>
      <c r="Q101" s="2"/>
      <c r="R101" s="2"/>
      <c r="S101" s="2"/>
    </row>
    <row r="102" spans="1:19" s="1" customFormat="1" ht="42" customHeight="1" x14ac:dyDescent="0.35">
      <c r="A102" s="153" t="s">
        <v>52</v>
      </c>
      <c r="B102" s="154"/>
      <c r="C102" s="154"/>
      <c r="D102" s="154"/>
      <c r="E102" s="154"/>
      <c r="F102" s="154"/>
      <c r="G102" s="154"/>
      <c r="H102" s="154"/>
      <c r="I102" s="154"/>
      <c r="J102" s="154"/>
      <c r="K102" s="154"/>
      <c r="L102" s="154"/>
      <c r="M102" s="154"/>
      <c r="N102" s="154"/>
      <c r="O102" s="155"/>
      <c r="P102" s="24"/>
      <c r="Q102" s="2"/>
      <c r="R102" s="2"/>
      <c r="S102" s="2"/>
    </row>
    <row r="103" spans="1:19" s="1" customFormat="1" ht="35.1" customHeight="1" x14ac:dyDescent="0.45">
      <c r="A103" s="75">
        <v>1</v>
      </c>
      <c r="B103" s="76" t="s">
        <v>34</v>
      </c>
      <c r="C103" s="77">
        <v>16</v>
      </c>
      <c r="D103" s="14">
        <v>0</v>
      </c>
      <c r="E103" s="15">
        <f>ROUND(852*2.79,0)</f>
        <v>2377</v>
      </c>
      <c r="F103" s="19"/>
      <c r="G103" s="15"/>
      <c r="H103" s="19">
        <v>35</v>
      </c>
      <c r="I103" s="15">
        <f>E103*H103/100</f>
        <v>831.95</v>
      </c>
      <c r="J103" s="19"/>
      <c r="K103" s="15"/>
      <c r="L103" s="52"/>
      <c r="M103" s="15"/>
      <c r="N103" s="78">
        <f>D103*E103+G103+I103+K103+M103</f>
        <v>831.95</v>
      </c>
      <c r="O103" s="78">
        <f>N103*12</f>
        <v>9983.4</v>
      </c>
      <c r="P103" s="79">
        <v>0.3</v>
      </c>
      <c r="Q103" s="2"/>
      <c r="R103" s="2"/>
      <c r="S103" s="2"/>
    </row>
    <row r="104" spans="1:19" s="1" customFormat="1" ht="69.95" customHeight="1" x14ac:dyDescent="0.45">
      <c r="A104" s="75">
        <v>2</v>
      </c>
      <c r="B104" s="76" t="s">
        <v>28</v>
      </c>
      <c r="C104" s="80"/>
      <c r="D104" s="14">
        <v>0.5</v>
      </c>
      <c r="E104" s="15">
        <f>E103*0.85</f>
        <v>2020.45</v>
      </c>
      <c r="F104" s="26">
        <v>20</v>
      </c>
      <c r="G104" s="15">
        <f>D104*E104*F104/100</f>
        <v>202.05</v>
      </c>
      <c r="H104" s="15"/>
      <c r="I104" s="15"/>
      <c r="J104" s="19">
        <v>20</v>
      </c>
      <c r="K104" s="15">
        <f>D104*E104*J104/100</f>
        <v>202.05</v>
      </c>
      <c r="L104" s="52">
        <v>10</v>
      </c>
      <c r="M104" s="15">
        <f t="shared" ref="M104" si="39">D104*E104*L104/100</f>
        <v>101.02</v>
      </c>
      <c r="N104" s="78">
        <f t="shared" ref="N104:N105" si="40">D104*E104+G104+I104+K104+M104</f>
        <v>1515.35</v>
      </c>
      <c r="O104" s="78">
        <f t="shared" ref="O104:O109" si="41">N104*12</f>
        <v>18184.2</v>
      </c>
      <c r="P104" s="79">
        <v>0.2</v>
      </c>
      <c r="Q104" s="2"/>
      <c r="R104" s="2"/>
      <c r="S104" s="2"/>
    </row>
    <row r="105" spans="1:19" s="1" customFormat="1" ht="69.95" customHeight="1" x14ac:dyDescent="0.45">
      <c r="A105" s="75">
        <v>3</v>
      </c>
      <c r="B105" s="76" t="s">
        <v>27</v>
      </c>
      <c r="C105" s="82">
        <v>11</v>
      </c>
      <c r="D105" s="14">
        <v>0.5</v>
      </c>
      <c r="E105" s="15">
        <f>0.85*E17</f>
        <v>2020.45</v>
      </c>
      <c r="F105" s="19">
        <v>20</v>
      </c>
      <c r="G105" s="15">
        <f>D105*E105*F105/100</f>
        <v>202.05</v>
      </c>
      <c r="H105" s="19"/>
      <c r="I105" s="15"/>
      <c r="J105" s="19">
        <v>20</v>
      </c>
      <c r="K105" s="15">
        <f>D105*E105*J105/100</f>
        <v>202.05</v>
      </c>
      <c r="L105" s="52">
        <v>10</v>
      </c>
      <c r="M105" s="15">
        <f>D105*E105*L105/100</f>
        <v>101.02</v>
      </c>
      <c r="N105" s="78">
        <f t="shared" si="40"/>
        <v>1515.35</v>
      </c>
      <c r="O105" s="78">
        <f t="shared" si="41"/>
        <v>18184.2</v>
      </c>
      <c r="P105" s="79"/>
      <c r="Q105" s="2"/>
      <c r="R105" s="2"/>
      <c r="S105" s="2"/>
    </row>
    <row r="106" spans="1:19" s="1" customFormat="1" ht="35.1" customHeight="1" x14ac:dyDescent="0.45">
      <c r="A106" s="75">
        <v>4</v>
      </c>
      <c r="B106" s="148" t="s">
        <v>81</v>
      </c>
      <c r="C106" s="82">
        <v>11</v>
      </c>
      <c r="D106" s="14">
        <v>1</v>
      </c>
      <c r="E106" s="15">
        <f t="shared" si="8"/>
        <v>1678</v>
      </c>
      <c r="F106" s="19"/>
      <c r="G106" s="15"/>
      <c r="H106" s="15"/>
      <c r="I106" s="15"/>
      <c r="J106" s="19"/>
      <c r="K106" s="15"/>
      <c r="L106" s="81"/>
      <c r="M106" s="15"/>
      <c r="N106" s="78">
        <f t="shared" ref="N106:N109" si="42">D106*E106+G106+I106+K106+M106</f>
        <v>1678</v>
      </c>
      <c r="O106" s="78">
        <f t="shared" si="41"/>
        <v>20136</v>
      </c>
      <c r="P106" s="79">
        <v>0.3</v>
      </c>
      <c r="Q106" s="2"/>
      <c r="R106" s="2"/>
      <c r="S106" s="2"/>
    </row>
    <row r="107" spans="1:19" s="1" customFormat="1" ht="69.95" customHeight="1" x14ac:dyDescent="0.45">
      <c r="A107" s="75">
        <v>5</v>
      </c>
      <c r="B107" s="148" t="s">
        <v>65</v>
      </c>
      <c r="C107" s="82">
        <v>11</v>
      </c>
      <c r="D107" s="14">
        <v>1</v>
      </c>
      <c r="E107" s="15">
        <f t="shared" ref="E107" si="43">ROUND(852*1.97,0)</f>
        <v>1678</v>
      </c>
      <c r="F107" s="19">
        <v>30</v>
      </c>
      <c r="G107" s="15">
        <f>E107*F107/100</f>
        <v>503.4</v>
      </c>
      <c r="H107" s="19"/>
      <c r="I107" s="15"/>
      <c r="J107" s="19">
        <v>20</v>
      </c>
      <c r="K107" s="15">
        <f>D107*E107*J107/100</f>
        <v>335.6</v>
      </c>
      <c r="L107" s="81"/>
      <c r="M107" s="15"/>
      <c r="N107" s="78">
        <f t="shared" si="42"/>
        <v>2517</v>
      </c>
      <c r="O107" s="78">
        <f t="shared" si="41"/>
        <v>30204</v>
      </c>
      <c r="P107" s="67"/>
      <c r="Q107" s="2"/>
      <c r="R107" s="2"/>
      <c r="S107" s="2"/>
    </row>
    <row r="108" spans="1:19" s="1" customFormat="1" ht="35.1" customHeight="1" x14ac:dyDescent="0.45">
      <c r="A108" s="75">
        <v>6</v>
      </c>
      <c r="B108" s="148" t="s">
        <v>84</v>
      </c>
      <c r="C108" s="82">
        <v>11</v>
      </c>
      <c r="D108" s="15">
        <v>0</v>
      </c>
      <c r="E108" s="15">
        <f>ROUND(852*1.97,0)</f>
        <v>1678</v>
      </c>
      <c r="F108" s="26"/>
      <c r="G108" s="15"/>
      <c r="H108" s="19">
        <v>30</v>
      </c>
      <c r="I108" s="15">
        <f t="shared" ref="I108" si="44">E108*H108/100</f>
        <v>503.4</v>
      </c>
      <c r="J108" s="19"/>
      <c r="K108" s="15"/>
      <c r="L108" s="81"/>
      <c r="M108" s="15"/>
      <c r="N108" s="78">
        <f t="shared" si="42"/>
        <v>503.4</v>
      </c>
      <c r="O108" s="78">
        <f t="shared" si="41"/>
        <v>6040.8</v>
      </c>
      <c r="P108" s="79">
        <v>0.3</v>
      </c>
      <c r="Q108" s="2"/>
      <c r="R108" s="2"/>
      <c r="S108" s="2"/>
    </row>
    <row r="109" spans="1:19" s="1" customFormat="1" ht="35.1" customHeight="1" x14ac:dyDescent="0.45">
      <c r="A109" s="75">
        <v>7</v>
      </c>
      <c r="B109" s="148" t="s">
        <v>101</v>
      </c>
      <c r="C109" s="82">
        <v>9</v>
      </c>
      <c r="D109" s="14">
        <v>1</v>
      </c>
      <c r="E109" s="15">
        <f t="shared" ref="E109" si="45">ROUND(852*1.73,0)</f>
        <v>1474</v>
      </c>
      <c r="F109" s="19"/>
      <c r="G109" s="15"/>
      <c r="H109" s="19"/>
      <c r="I109" s="15"/>
      <c r="J109" s="19"/>
      <c r="K109" s="15"/>
      <c r="L109" s="52"/>
      <c r="M109" s="15"/>
      <c r="N109" s="78">
        <f t="shared" si="42"/>
        <v>1474</v>
      </c>
      <c r="O109" s="78">
        <f t="shared" si="41"/>
        <v>17688</v>
      </c>
      <c r="P109" s="67"/>
      <c r="Q109" s="2"/>
      <c r="R109" s="2"/>
      <c r="S109" s="2"/>
    </row>
    <row r="110" spans="1:19" s="1" customFormat="1" ht="39" customHeight="1" x14ac:dyDescent="0.5">
      <c r="A110" s="105"/>
      <c r="B110" s="91" t="s">
        <v>41</v>
      </c>
      <c r="C110" s="86"/>
      <c r="D110" s="17">
        <f>SUM(D103:D109)</f>
        <v>4</v>
      </c>
      <c r="E110" s="17">
        <f>D103*E103+D104*E104+D105*E105+D106*E106+D107*E107+D108*E108+D109*E109</f>
        <v>6850.45</v>
      </c>
      <c r="F110" s="17"/>
      <c r="G110" s="17">
        <f>SUM(G103:G109)</f>
        <v>907.5</v>
      </c>
      <c r="H110" s="17"/>
      <c r="I110" s="17">
        <f>SUM(I103:I109)</f>
        <v>1335.35</v>
      </c>
      <c r="J110" s="17"/>
      <c r="K110" s="17">
        <f>SUM(K103:K109)</f>
        <v>739.7</v>
      </c>
      <c r="L110" s="17"/>
      <c r="M110" s="17">
        <f>SUM(M103:M109)</f>
        <v>202.04</v>
      </c>
      <c r="N110" s="87">
        <f>SUM(N103:N109)</f>
        <v>10035.049999999999</v>
      </c>
      <c r="O110" s="87">
        <f>SUM(O103:O109)</f>
        <v>120420.6</v>
      </c>
      <c r="P110" s="67"/>
      <c r="Q110" s="2"/>
      <c r="R110" s="2"/>
      <c r="S110" s="2"/>
    </row>
    <row r="111" spans="1:19" s="1" customFormat="1" ht="45.75" customHeight="1" x14ac:dyDescent="0.35">
      <c r="A111" s="153" t="s">
        <v>110</v>
      </c>
      <c r="B111" s="154"/>
      <c r="C111" s="154"/>
      <c r="D111" s="154"/>
      <c r="E111" s="154"/>
      <c r="F111" s="154"/>
      <c r="G111" s="154"/>
      <c r="H111" s="154"/>
      <c r="I111" s="154"/>
      <c r="J111" s="154"/>
      <c r="K111" s="154"/>
      <c r="L111" s="154"/>
      <c r="M111" s="154"/>
      <c r="N111" s="154"/>
      <c r="O111" s="155"/>
      <c r="P111" s="67"/>
      <c r="Q111" s="2"/>
      <c r="R111" s="2"/>
      <c r="S111" s="2"/>
    </row>
    <row r="112" spans="1:19" s="1" customFormat="1" ht="69.95" customHeight="1" x14ac:dyDescent="0.45">
      <c r="A112" s="75">
        <v>1</v>
      </c>
      <c r="B112" s="106" t="s">
        <v>102</v>
      </c>
      <c r="C112" s="88"/>
      <c r="D112" s="14">
        <v>1</v>
      </c>
      <c r="E112" s="15">
        <f>0.91*E32</f>
        <v>1946.76</v>
      </c>
      <c r="F112" s="19">
        <v>20</v>
      </c>
      <c r="G112" s="15">
        <f>D112*E112*F112/100</f>
        <v>389.35</v>
      </c>
      <c r="H112" s="15"/>
      <c r="I112" s="15"/>
      <c r="J112" s="19">
        <v>20</v>
      </c>
      <c r="K112" s="15">
        <f>E112*D112*J112/100</f>
        <v>389.35</v>
      </c>
      <c r="L112" s="52">
        <v>10</v>
      </c>
      <c r="M112" s="15">
        <f>D112*E112*L112/100</f>
        <v>194.68</v>
      </c>
      <c r="N112" s="78">
        <f>D112*E112+G112+I112+K112+M112</f>
        <v>2920.14</v>
      </c>
      <c r="O112" s="78">
        <f>N112*12</f>
        <v>35041.68</v>
      </c>
      <c r="P112" s="67"/>
      <c r="Q112" s="2"/>
      <c r="R112" s="2"/>
      <c r="S112" s="2"/>
    </row>
    <row r="113" spans="1:19" s="1" customFormat="1" ht="35.1" customHeight="1" x14ac:dyDescent="0.45">
      <c r="A113" s="75">
        <v>2</v>
      </c>
      <c r="B113" s="148" t="s">
        <v>101</v>
      </c>
      <c r="C113" s="82">
        <v>9</v>
      </c>
      <c r="D113" s="14">
        <v>1</v>
      </c>
      <c r="E113" s="15">
        <f t="shared" ref="E113" si="46">ROUND(852*1.73,0)</f>
        <v>1474</v>
      </c>
      <c r="F113" s="19">
        <v>30</v>
      </c>
      <c r="G113" s="15">
        <f t="shared" ref="G113" si="47">D113*E113*F113/100</f>
        <v>442.2</v>
      </c>
      <c r="H113" s="15"/>
      <c r="I113" s="15"/>
      <c r="J113" s="19">
        <v>20</v>
      </c>
      <c r="K113" s="15">
        <f t="shared" ref="K113" si="48">E113*D113*J113/100</f>
        <v>294.8</v>
      </c>
      <c r="L113" s="81"/>
      <c r="M113" s="15"/>
      <c r="N113" s="78">
        <f t="shared" ref="N113" si="49">D113*E113+G113+I113+K113+M113</f>
        <v>2211</v>
      </c>
      <c r="O113" s="78">
        <f t="shared" ref="O113" si="50">N113*12</f>
        <v>26532</v>
      </c>
      <c r="P113" s="67"/>
      <c r="Q113" s="2"/>
      <c r="R113" s="2"/>
      <c r="S113" s="2"/>
    </row>
    <row r="114" spans="1:19" s="1" customFormat="1" ht="36.75" customHeight="1" x14ac:dyDescent="0.5">
      <c r="A114" s="75"/>
      <c r="B114" s="91" t="s">
        <v>42</v>
      </c>
      <c r="C114" s="86"/>
      <c r="D114" s="17">
        <f>SUM(D112:D113)</f>
        <v>2</v>
      </c>
      <c r="E114" s="17">
        <f>D112*E112+D113*E113</f>
        <v>3420.76</v>
      </c>
      <c r="F114" s="17"/>
      <c r="G114" s="17">
        <f>SUM(G112:G113)</f>
        <v>831.55</v>
      </c>
      <c r="H114" s="17"/>
      <c r="I114" s="17"/>
      <c r="J114" s="17"/>
      <c r="K114" s="17">
        <f>SUM(K112:K113)</f>
        <v>684.15</v>
      </c>
      <c r="L114" s="17"/>
      <c r="M114" s="17">
        <f>SUM(M112:M113)</f>
        <v>194.68</v>
      </c>
      <c r="N114" s="87">
        <f>SUM(N112:N113)</f>
        <v>5131.1400000000003</v>
      </c>
      <c r="O114" s="87">
        <f>SUM(O112:O113)</f>
        <v>61573.68</v>
      </c>
      <c r="P114" s="67"/>
      <c r="Q114" s="2"/>
      <c r="R114" s="2"/>
      <c r="S114" s="2"/>
    </row>
    <row r="115" spans="1:19" s="1" customFormat="1" ht="39.75" customHeight="1" x14ac:dyDescent="0.5">
      <c r="A115" s="75"/>
      <c r="B115" s="91" t="s">
        <v>53</v>
      </c>
      <c r="C115" s="89"/>
      <c r="D115" s="17">
        <f>D110+D114</f>
        <v>6</v>
      </c>
      <c r="E115" s="17">
        <f>E110+E114</f>
        <v>10271.209999999999</v>
      </c>
      <c r="F115" s="17"/>
      <c r="G115" s="17">
        <f>G110+G114</f>
        <v>1739.05</v>
      </c>
      <c r="H115" s="17"/>
      <c r="I115" s="17">
        <f>I110+I114</f>
        <v>1335.35</v>
      </c>
      <c r="J115" s="17"/>
      <c r="K115" s="17">
        <f>K110+K114</f>
        <v>1423.85</v>
      </c>
      <c r="L115" s="17"/>
      <c r="M115" s="17">
        <f>M110+M114</f>
        <v>396.72</v>
      </c>
      <c r="N115" s="87">
        <f>N110+N114</f>
        <v>15166.19</v>
      </c>
      <c r="O115" s="87">
        <f>O110+O114</f>
        <v>181994.28</v>
      </c>
      <c r="P115" s="67"/>
      <c r="Q115" s="2"/>
      <c r="R115" s="2"/>
      <c r="S115" s="2"/>
    </row>
    <row r="116" spans="1:19" s="1" customFormat="1" ht="45" customHeight="1" x14ac:dyDescent="0.5">
      <c r="A116" s="159" t="s">
        <v>105</v>
      </c>
      <c r="B116" s="160"/>
      <c r="C116" s="160"/>
      <c r="D116" s="160"/>
      <c r="E116" s="160"/>
      <c r="F116" s="160"/>
      <c r="G116" s="160"/>
      <c r="H116" s="160"/>
      <c r="I116" s="160"/>
      <c r="J116" s="160"/>
      <c r="K116" s="160"/>
      <c r="L116" s="160"/>
      <c r="M116" s="160"/>
      <c r="N116" s="160"/>
      <c r="O116" s="161"/>
      <c r="P116" s="79"/>
      <c r="Q116" s="2"/>
      <c r="R116" s="2"/>
      <c r="S116" s="2"/>
    </row>
    <row r="117" spans="1:19" s="1" customFormat="1" ht="69.95" customHeight="1" x14ac:dyDescent="0.5">
      <c r="A117" s="75">
        <v>1</v>
      </c>
      <c r="B117" s="148" t="s">
        <v>38</v>
      </c>
      <c r="C117" s="77">
        <v>9</v>
      </c>
      <c r="D117" s="127">
        <v>1</v>
      </c>
      <c r="E117" s="15">
        <f>ROUND(852*1.73,0)</f>
        <v>1474</v>
      </c>
      <c r="F117" s="27"/>
      <c r="G117" s="15"/>
      <c r="H117" s="14"/>
      <c r="I117" s="15"/>
      <c r="J117" s="52"/>
      <c r="K117" s="15"/>
      <c r="L117" s="14"/>
      <c r="M117" s="15"/>
      <c r="N117" s="90">
        <f>D117*E117+G117+I117+K117+M117</f>
        <v>1474</v>
      </c>
      <c r="O117" s="78">
        <f>N117*12</f>
        <v>17688</v>
      </c>
      <c r="P117" s="79"/>
      <c r="Q117" s="2"/>
      <c r="R117" s="2"/>
      <c r="S117" s="2"/>
    </row>
    <row r="118" spans="1:19" s="1" customFormat="1" ht="34.5" customHeight="1" x14ac:dyDescent="0.5">
      <c r="A118" s="75"/>
      <c r="B118" s="91" t="s">
        <v>106</v>
      </c>
      <c r="C118" s="89"/>
      <c r="D118" s="17">
        <f>SUM(D117:D117)</f>
        <v>1</v>
      </c>
      <c r="E118" s="17">
        <f>SUM(E117:E117)</f>
        <v>1474</v>
      </c>
      <c r="F118" s="17"/>
      <c r="G118" s="17">
        <f>SUM(G117:G117)</f>
        <v>0</v>
      </c>
      <c r="H118" s="17"/>
      <c r="I118" s="17">
        <f t="shared" ref="I118" si="51">SUM(I117:I117)</f>
        <v>0</v>
      </c>
      <c r="J118" s="17"/>
      <c r="K118" s="17">
        <f>SUM(K117:K117)</f>
        <v>0</v>
      </c>
      <c r="L118" s="17"/>
      <c r="M118" s="17"/>
      <c r="N118" s="87">
        <f>SUM(N117:N117)</f>
        <v>1474</v>
      </c>
      <c r="O118" s="87">
        <f>SUM(O117:O117)</f>
        <v>17688</v>
      </c>
      <c r="P118" s="79"/>
      <c r="Q118" s="2"/>
      <c r="R118" s="2"/>
      <c r="S118" s="2"/>
    </row>
    <row r="119" spans="1:19" s="1" customFormat="1" ht="36.75" customHeight="1" x14ac:dyDescent="0.35">
      <c r="A119" s="153" t="s">
        <v>54</v>
      </c>
      <c r="B119" s="154"/>
      <c r="C119" s="154"/>
      <c r="D119" s="154"/>
      <c r="E119" s="154"/>
      <c r="F119" s="154"/>
      <c r="G119" s="154"/>
      <c r="H119" s="154"/>
      <c r="I119" s="154"/>
      <c r="J119" s="154"/>
      <c r="K119" s="154"/>
      <c r="L119" s="154"/>
      <c r="M119" s="154"/>
      <c r="N119" s="154"/>
      <c r="O119" s="155"/>
      <c r="P119" s="67"/>
      <c r="Q119" s="2"/>
      <c r="R119" s="2"/>
      <c r="S119" s="2"/>
    </row>
    <row r="120" spans="1:19" s="1" customFormat="1" ht="35.1" customHeight="1" x14ac:dyDescent="0.5">
      <c r="A120" s="75">
        <v>1</v>
      </c>
      <c r="B120" s="76" t="s">
        <v>2</v>
      </c>
      <c r="C120" s="80"/>
      <c r="D120" s="14">
        <v>0</v>
      </c>
      <c r="E120" s="15">
        <f>0.9*E17</f>
        <v>2139.3000000000002</v>
      </c>
      <c r="F120" s="19"/>
      <c r="G120" s="15"/>
      <c r="H120" s="19">
        <v>50</v>
      </c>
      <c r="I120" s="15">
        <f>E120*H120/100</f>
        <v>1069.6500000000001</v>
      </c>
      <c r="J120" s="28"/>
      <c r="K120" s="15"/>
      <c r="L120" s="92"/>
      <c r="M120" s="17"/>
      <c r="N120" s="78">
        <f>D120*E120+G120+I120+K120+M120</f>
        <v>1069.6500000000001</v>
      </c>
      <c r="O120" s="78">
        <f>N120*12</f>
        <v>12835.8</v>
      </c>
      <c r="P120" s="79"/>
      <c r="Q120" s="2"/>
      <c r="R120" s="2"/>
      <c r="S120" s="2"/>
    </row>
    <row r="121" spans="1:19" s="1" customFormat="1" ht="35.1" customHeight="1" x14ac:dyDescent="0.45">
      <c r="A121" s="75">
        <v>2</v>
      </c>
      <c r="B121" s="76" t="s">
        <v>3</v>
      </c>
      <c r="C121" s="93"/>
      <c r="D121" s="14">
        <v>0.5</v>
      </c>
      <c r="E121" s="15">
        <f>E120*0.91</f>
        <v>1946.76</v>
      </c>
      <c r="F121" s="19"/>
      <c r="G121" s="15"/>
      <c r="H121" s="19">
        <v>50</v>
      </c>
      <c r="I121" s="15">
        <f t="shared" ref="I121:I128" si="52">E121*H121/100</f>
        <v>973.38</v>
      </c>
      <c r="J121" s="28"/>
      <c r="K121" s="15"/>
      <c r="L121" s="81"/>
      <c r="M121" s="15"/>
      <c r="N121" s="78">
        <f t="shared" ref="N121:N136" si="53">D121*E121+G121+I121+K121+M121</f>
        <v>1946.76</v>
      </c>
      <c r="O121" s="78">
        <f t="shared" ref="O121:O137" si="54">N121*12</f>
        <v>23361.119999999999</v>
      </c>
      <c r="P121" s="79"/>
      <c r="Q121" s="2"/>
      <c r="R121" s="2"/>
      <c r="S121" s="2"/>
    </row>
    <row r="122" spans="1:19" s="1" customFormat="1" ht="35.1" customHeight="1" x14ac:dyDescent="0.45">
      <c r="A122" s="75">
        <v>3</v>
      </c>
      <c r="B122" s="76" t="s">
        <v>114</v>
      </c>
      <c r="C122" s="82">
        <v>9</v>
      </c>
      <c r="D122" s="14">
        <v>0.5</v>
      </c>
      <c r="E122" s="15">
        <v>1474</v>
      </c>
      <c r="F122" s="19"/>
      <c r="G122" s="15"/>
      <c r="H122" s="19">
        <v>50</v>
      </c>
      <c r="I122" s="15">
        <f t="shared" si="52"/>
        <v>737</v>
      </c>
      <c r="J122" s="28"/>
      <c r="K122" s="15"/>
      <c r="L122" s="81"/>
      <c r="M122" s="15"/>
      <c r="N122" s="78">
        <f t="shared" si="53"/>
        <v>1474</v>
      </c>
      <c r="O122" s="78">
        <f t="shared" si="54"/>
        <v>17688</v>
      </c>
      <c r="P122" s="79"/>
      <c r="Q122" s="2"/>
      <c r="R122" s="2"/>
      <c r="S122" s="2"/>
    </row>
    <row r="123" spans="1:19" s="1" customFormat="1" ht="35.1" customHeight="1" x14ac:dyDescent="0.45">
      <c r="A123" s="75">
        <v>4</v>
      </c>
      <c r="B123" s="76" t="s">
        <v>88</v>
      </c>
      <c r="C123" s="82">
        <v>9</v>
      </c>
      <c r="D123" s="14">
        <v>0</v>
      </c>
      <c r="E123" s="15">
        <f t="shared" ref="E123:E124" si="55">ROUND(852*1.73,0)</f>
        <v>1474</v>
      </c>
      <c r="F123" s="19"/>
      <c r="G123" s="15"/>
      <c r="H123" s="19">
        <v>50</v>
      </c>
      <c r="I123" s="15">
        <f t="shared" si="52"/>
        <v>737</v>
      </c>
      <c r="J123" s="28"/>
      <c r="K123" s="15"/>
      <c r="L123" s="81"/>
      <c r="M123" s="15"/>
      <c r="N123" s="78">
        <f t="shared" si="53"/>
        <v>737</v>
      </c>
      <c r="O123" s="78">
        <f t="shared" si="54"/>
        <v>8844</v>
      </c>
      <c r="P123" s="79"/>
      <c r="Q123" s="2"/>
      <c r="R123" s="2"/>
      <c r="S123" s="2"/>
    </row>
    <row r="124" spans="1:19" s="1" customFormat="1" ht="35.1" customHeight="1" x14ac:dyDescent="0.45">
      <c r="A124" s="75">
        <v>5</v>
      </c>
      <c r="B124" s="76" t="s">
        <v>88</v>
      </c>
      <c r="C124" s="82">
        <v>9</v>
      </c>
      <c r="D124" s="14">
        <v>0</v>
      </c>
      <c r="E124" s="15">
        <f t="shared" si="55"/>
        <v>1474</v>
      </c>
      <c r="F124" s="19"/>
      <c r="G124" s="15"/>
      <c r="H124" s="19">
        <v>50</v>
      </c>
      <c r="I124" s="15">
        <f t="shared" si="52"/>
        <v>737</v>
      </c>
      <c r="J124" s="28"/>
      <c r="K124" s="15"/>
      <c r="L124" s="81"/>
      <c r="M124" s="15"/>
      <c r="N124" s="78">
        <f t="shared" si="53"/>
        <v>737</v>
      </c>
      <c r="O124" s="78">
        <f t="shared" si="54"/>
        <v>8844</v>
      </c>
      <c r="P124" s="79"/>
      <c r="Q124" s="2"/>
      <c r="R124" s="2"/>
      <c r="S124" s="2"/>
    </row>
    <row r="125" spans="1:19" s="1" customFormat="1" ht="35.1" customHeight="1" x14ac:dyDescent="0.45">
      <c r="A125" s="75">
        <v>6</v>
      </c>
      <c r="B125" s="132" t="s">
        <v>113</v>
      </c>
      <c r="C125" s="82">
        <v>8</v>
      </c>
      <c r="D125" s="14">
        <v>0</v>
      </c>
      <c r="E125" s="15">
        <v>1397</v>
      </c>
      <c r="F125" s="19"/>
      <c r="G125" s="15"/>
      <c r="H125" s="19">
        <v>50</v>
      </c>
      <c r="I125" s="15">
        <f t="shared" si="52"/>
        <v>698.5</v>
      </c>
      <c r="J125" s="28"/>
      <c r="K125" s="15"/>
      <c r="L125" s="81"/>
      <c r="M125" s="15"/>
      <c r="N125" s="78">
        <f t="shared" si="53"/>
        <v>698.5</v>
      </c>
      <c r="O125" s="78">
        <f t="shared" si="54"/>
        <v>8382</v>
      </c>
      <c r="P125" s="79"/>
      <c r="Q125" s="2"/>
      <c r="R125" s="2"/>
      <c r="S125" s="2"/>
    </row>
    <row r="126" spans="1:19" s="1" customFormat="1" ht="35.1" customHeight="1" x14ac:dyDescent="0.45">
      <c r="A126" s="75">
        <v>7</v>
      </c>
      <c r="B126" s="148" t="s">
        <v>89</v>
      </c>
      <c r="C126" s="82">
        <v>7</v>
      </c>
      <c r="D126" s="14">
        <v>1</v>
      </c>
      <c r="E126" s="15">
        <f>ROUND(852*1.54,0)</f>
        <v>1312</v>
      </c>
      <c r="F126" s="19"/>
      <c r="G126" s="15"/>
      <c r="H126" s="19"/>
      <c r="I126" s="15"/>
      <c r="J126" s="28"/>
      <c r="K126" s="15"/>
      <c r="L126" s="81"/>
      <c r="M126" s="15"/>
      <c r="N126" s="78">
        <f t="shared" ref="N126" si="56">D126*E126+G126+I126+K126+M126</f>
        <v>1312</v>
      </c>
      <c r="O126" s="78">
        <f t="shared" si="54"/>
        <v>15744</v>
      </c>
      <c r="P126" s="79"/>
      <c r="Q126" s="2"/>
      <c r="R126" s="2"/>
      <c r="S126" s="2"/>
    </row>
    <row r="127" spans="1:19" s="1" customFormat="1" ht="35.1" customHeight="1" x14ac:dyDescent="0.45">
      <c r="A127" s="75">
        <v>8</v>
      </c>
      <c r="B127" s="148" t="s">
        <v>90</v>
      </c>
      <c r="C127" s="82">
        <v>5</v>
      </c>
      <c r="D127" s="14">
        <v>0</v>
      </c>
      <c r="E127" s="15">
        <v>1253</v>
      </c>
      <c r="F127" s="19"/>
      <c r="G127" s="15"/>
      <c r="H127" s="19">
        <v>50</v>
      </c>
      <c r="I127" s="15">
        <f t="shared" si="52"/>
        <v>626.5</v>
      </c>
      <c r="J127" s="28"/>
      <c r="K127" s="15"/>
      <c r="L127" s="81"/>
      <c r="M127" s="15"/>
      <c r="N127" s="78">
        <f t="shared" si="53"/>
        <v>626.5</v>
      </c>
      <c r="O127" s="78">
        <f t="shared" si="54"/>
        <v>7518</v>
      </c>
      <c r="P127" s="79"/>
      <c r="Q127" s="2"/>
      <c r="R127" s="2"/>
      <c r="S127" s="2"/>
    </row>
    <row r="128" spans="1:19" s="1" customFormat="1" ht="69.95" customHeight="1" x14ac:dyDescent="0.45">
      <c r="A128" s="75">
        <v>9</v>
      </c>
      <c r="B128" s="148" t="s">
        <v>91</v>
      </c>
      <c r="C128" s="82">
        <v>5</v>
      </c>
      <c r="D128" s="14">
        <v>0.5</v>
      </c>
      <c r="E128" s="15">
        <v>1253</v>
      </c>
      <c r="F128" s="19"/>
      <c r="G128" s="15"/>
      <c r="H128" s="19">
        <v>50</v>
      </c>
      <c r="I128" s="15">
        <f t="shared" si="52"/>
        <v>626.5</v>
      </c>
      <c r="J128" s="28"/>
      <c r="K128" s="15"/>
      <c r="L128" s="81"/>
      <c r="M128" s="15"/>
      <c r="N128" s="78">
        <f t="shared" si="53"/>
        <v>1253</v>
      </c>
      <c r="O128" s="78">
        <f t="shared" si="54"/>
        <v>15036</v>
      </c>
      <c r="P128" s="79"/>
      <c r="Q128" s="2"/>
      <c r="R128" s="2"/>
      <c r="S128" s="2"/>
    </row>
    <row r="129" spans="1:20" s="65" customFormat="1" ht="69.95" customHeight="1" x14ac:dyDescent="0.45">
      <c r="A129" s="75">
        <v>10</v>
      </c>
      <c r="B129" s="148" t="s">
        <v>108</v>
      </c>
      <c r="C129" s="82">
        <v>5</v>
      </c>
      <c r="D129" s="14">
        <v>0</v>
      </c>
      <c r="E129" s="15">
        <v>1253</v>
      </c>
      <c r="G129" s="19"/>
      <c r="H129" s="19">
        <v>30</v>
      </c>
      <c r="I129" s="15">
        <f t="shared" ref="I129" si="57">E129*H129/100</f>
        <v>375.9</v>
      </c>
      <c r="J129" s="15"/>
      <c r="K129" s="28"/>
      <c r="L129" s="15"/>
      <c r="M129" s="52"/>
      <c r="N129" s="78">
        <f t="shared" si="53"/>
        <v>375.9</v>
      </c>
      <c r="O129" s="78">
        <f t="shared" si="54"/>
        <v>4510.8</v>
      </c>
      <c r="P129" s="79"/>
      <c r="R129" s="67"/>
      <c r="S129" s="67"/>
      <c r="T129" s="67"/>
    </row>
    <row r="130" spans="1:20" s="1" customFormat="1" ht="35.1" customHeight="1" x14ac:dyDescent="0.45">
      <c r="A130" s="75">
        <v>11</v>
      </c>
      <c r="B130" s="148" t="s">
        <v>9</v>
      </c>
      <c r="C130" s="77">
        <v>7</v>
      </c>
      <c r="D130" s="14">
        <v>0</v>
      </c>
      <c r="E130" s="15">
        <f>ROUND(852*1.54,0)</f>
        <v>1312</v>
      </c>
      <c r="F130" s="19"/>
      <c r="G130" s="15"/>
      <c r="H130" s="19">
        <v>50</v>
      </c>
      <c r="I130" s="15">
        <f t="shared" ref="I130:I131" si="58">E130*H130/100</f>
        <v>656</v>
      </c>
      <c r="J130" s="28"/>
      <c r="K130" s="15"/>
      <c r="L130" s="52"/>
      <c r="M130" s="15"/>
      <c r="N130" s="78">
        <f t="shared" si="53"/>
        <v>656</v>
      </c>
      <c r="O130" s="78">
        <f t="shared" si="54"/>
        <v>7872</v>
      </c>
      <c r="P130" s="79">
        <v>0.3</v>
      </c>
      <c r="Q130" s="2"/>
      <c r="R130" s="2"/>
      <c r="S130" s="2"/>
    </row>
    <row r="131" spans="1:20" s="1" customFormat="1" ht="35.1" customHeight="1" x14ac:dyDescent="0.45">
      <c r="A131" s="75">
        <v>12</v>
      </c>
      <c r="B131" s="148" t="s">
        <v>87</v>
      </c>
      <c r="C131" s="82">
        <v>5</v>
      </c>
      <c r="D131" s="14">
        <v>0</v>
      </c>
      <c r="E131" s="15">
        <v>1253</v>
      </c>
      <c r="F131" s="19"/>
      <c r="G131" s="15"/>
      <c r="H131" s="19">
        <v>30</v>
      </c>
      <c r="I131" s="15">
        <f t="shared" si="58"/>
        <v>375.9</v>
      </c>
      <c r="J131" s="28"/>
      <c r="K131" s="15"/>
      <c r="L131" s="52"/>
      <c r="M131" s="15"/>
      <c r="N131" s="78">
        <f t="shared" si="53"/>
        <v>375.9</v>
      </c>
      <c r="O131" s="78">
        <f t="shared" si="54"/>
        <v>4510.8</v>
      </c>
      <c r="P131" s="79"/>
      <c r="Q131" s="2"/>
      <c r="R131" s="2"/>
      <c r="S131" s="2"/>
    </row>
    <row r="132" spans="1:20" s="1" customFormat="1" ht="35.1" customHeight="1" x14ac:dyDescent="0.45">
      <c r="A132" s="75">
        <v>13</v>
      </c>
      <c r="B132" s="148" t="s">
        <v>87</v>
      </c>
      <c r="C132" s="82">
        <v>5</v>
      </c>
      <c r="D132" s="14">
        <v>1</v>
      </c>
      <c r="E132" s="15">
        <v>1253</v>
      </c>
      <c r="F132" s="19"/>
      <c r="G132" s="15"/>
      <c r="H132" s="19"/>
      <c r="I132" s="15"/>
      <c r="J132" s="28"/>
      <c r="K132" s="15"/>
      <c r="L132" s="52"/>
      <c r="M132" s="15"/>
      <c r="N132" s="78">
        <f t="shared" ref="N132" si="59">D132*E132+G132+I132+K132+M132</f>
        <v>1253</v>
      </c>
      <c r="O132" s="78">
        <f t="shared" si="54"/>
        <v>15036</v>
      </c>
      <c r="P132" s="79"/>
      <c r="Q132" s="2"/>
      <c r="R132" s="2"/>
      <c r="S132" s="2"/>
    </row>
    <row r="133" spans="1:20" s="1" customFormat="1" ht="35.1" customHeight="1" x14ac:dyDescent="0.45">
      <c r="A133" s="75">
        <v>14</v>
      </c>
      <c r="B133" s="148" t="s">
        <v>92</v>
      </c>
      <c r="C133" s="82">
        <v>9</v>
      </c>
      <c r="D133" s="14">
        <v>0</v>
      </c>
      <c r="E133" s="15">
        <f t="shared" ref="E133:E134" si="60">ROUND(852*1.73,0)</f>
        <v>1474</v>
      </c>
      <c r="F133" s="19">
        <v>30</v>
      </c>
      <c r="G133" s="15">
        <f>E133*F133/100</f>
        <v>442.2</v>
      </c>
      <c r="H133" s="19">
        <v>50</v>
      </c>
      <c r="I133" s="15">
        <f>E133*H133/100</f>
        <v>737</v>
      </c>
      <c r="J133" s="15"/>
      <c r="K133" s="15"/>
      <c r="L133" s="52"/>
      <c r="M133" s="15"/>
      <c r="N133" s="78">
        <f t="shared" ref="N133" si="61">D133*E133+G133+I133+K133+M133</f>
        <v>1179.2</v>
      </c>
      <c r="O133" s="78">
        <f t="shared" si="54"/>
        <v>14150.4</v>
      </c>
      <c r="P133" s="79"/>
      <c r="Q133" s="2"/>
      <c r="R133" s="2"/>
      <c r="S133" s="2"/>
    </row>
    <row r="134" spans="1:20" s="1" customFormat="1" ht="35.1" customHeight="1" x14ac:dyDescent="0.45">
      <c r="A134" s="75">
        <v>15</v>
      </c>
      <c r="B134" s="148" t="s">
        <v>92</v>
      </c>
      <c r="C134" s="82">
        <v>9</v>
      </c>
      <c r="D134" s="14">
        <v>0.5</v>
      </c>
      <c r="E134" s="15">
        <f t="shared" si="60"/>
        <v>1474</v>
      </c>
      <c r="F134" s="19">
        <v>30</v>
      </c>
      <c r="G134" s="15">
        <f>E134*F134/100</f>
        <v>442.2</v>
      </c>
      <c r="H134" s="19">
        <v>50</v>
      </c>
      <c r="I134" s="15">
        <f>E134*H134/100</f>
        <v>737</v>
      </c>
      <c r="J134" s="15"/>
      <c r="K134" s="15"/>
      <c r="L134" s="52"/>
      <c r="M134" s="15"/>
      <c r="N134" s="78">
        <f t="shared" si="53"/>
        <v>1916.2</v>
      </c>
      <c r="O134" s="78">
        <f t="shared" si="54"/>
        <v>22994.400000000001</v>
      </c>
      <c r="P134" s="67"/>
      <c r="Q134" s="2"/>
      <c r="R134" s="2"/>
      <c r="S134" s="2"/>
    </row>
    <row r="135" spans="1:20" s="1" customFormat="1" ht="35.1" customHeight="1" x14ac:dyDescent="0.45">
      <c r="A135" s="75">
        <v>16</v>
      </c>
      <c r="B135" s="148" t="s">
        <v>93</v>
      </c>
      <c r="C135" s="82">
        <v>4</v>
      </c>
      <c r="D135" s="14">
        <v>1</v>
      </c>
      <c r="E135" s="15">
        <v>1243</v>
      </c>
      <c r="F135" s="19"/>
      <c r="G135" s="15"/>
      <c r="H135" s="19"/>
      <c r="I135" s="15"/>
      <c r="J135" s="28"/>
      <c r="K135" s="15"/>
      <c r="L135" s="52"/>
      <c r="M135" s="15"/>
      <c r="N135" s="78">
        <f t="shared" si="53"/>
        <v>1243</v>
      </c>
      <c r="O135" s="78">
        <f t="shared" si="54"/>
        <v>14916</v>
      </c>
      <c r="P135" s="79"/>
      <c r="Q135" s="2"/>
      <c r="R135" s="2"/>
      <c r="S135" s="2"/>
    </row>
    <row r="136" spans="1:20" s="1" customFormat="1" ht="35.1" customHeight="1" x14ac:dyDescent="0.45">
      <c r="A136" s="75">
        <v>17</v>
      </c>
      <c r="B136" s="149" t="s">
        <v>94</v>
      </c>
      <c r="C136" s="82">
        <v>5</v>
      </c>
      <c r="D136" s="14">
        <v>2</v>
      </c>
      <c r="E136" s="15">
        <v>1253</v>
      </c>
      <c r="F136" s="19"/>
      <c r="G136" s="15"/>
      <c r="H136" s="19"/>
      <c r="I136" s="15"/>
      <c r="J136" s="28"/>
      <c r="K136" s="15"/>
      <c r="L136" s="52"/>
      <c r="M136" s="15"/>
      <c r="N136" s="78">
        <f t="shared" si="53"/>
        <v>2506</v>
      </c>
      <c r="O136" s="78">
        <f t="shared" si="54"/>
        <v>30072</v>
      </c>
      <c r="P136" s="79"/>
      <c r="Q136" s="2"/>
      <c r="R136" s="2"/>
      <c r="S136" s="2"/>
    </row>
    <row r="137" spans="1:20" s="1" customFormat="1" ht="35.1" customHeight="1" x14ac:dyDescent="0.45">
      <c r="A137" s="75">
        <v>18</v>
      </c>
      <c r="B137" s="148" t="s">
        <v>96</v>
      </c>
      <c r="C137" s="77">
        <v>10</v>
      </c>
      <c r="D137" s="14">
        <v>1</v>
      </c>
      <c r="E137" s="15">
        <f>ROUND(852*1.82,0)</f>
        <v>1551</v>
      </c>
      <c r="F137" s="19"/>
      <c r="G137" s="15"/>
      <c r="H137" s="15"/>
      <c r="I137" s="15"/>
      <c r="J137" s="28"/>
      <c r="K137" s="15"/>
      <c r="L137" s="81"/>
      <c r="M137" s="15"/>
      <c r="N137" s="78">
        <f>D137*E137+G137+I137+K137+M137</f>
        <v>1551</v>
      </c>
      <c r="O137" s="78">
        <f t="shared" si="54"/>
        <v>18612</v>
      </c>
      <c r="P137" s="79"/>
      <c r="Q137" s="2"/>
      <c r="R137" s="2"/>
      <c r="S137" s="2"/>
    </row>
    <row r="138" spans="1:20" s="1" customFormat="1" ht="33" customHeight="1" x14ac:dyDescent="0.5">
      <c r="A138" s="75"/>
      <c r="B138" s="147" t="s">
        <v>41</v>
      </c>
      <c r="C138" s="94"/>
      <c r="D138" s="16">
        <f>SUM(D120:D137)</f>
        <v>8</v>
      </c>
      <c r="E138" s="17">
        <f>D120*E120+D121*E121+D122*E122+D123*E123+D129*E129+D124*E124+D125*E125+D126*E126+D127*E127+D128*E128+D130*E130+D131*E131+D134*E134+D133*E133+D137*E137+D132*E132</f>
        <v>7189.88</v>
      </c>
      <c r="F138" s="17"/>
      <c r="G138" s="17">
        <f>SUM(G120:G137)</f>
        <v>884.4</v>
      </c>
      <c r="H138" s="17"/>
      <c r="I138" s="17">
        <f>SUM(I120:I137)</f>
        <v>9087.33</v>
      </c>
      <c r="J138" s="17"/>
      <c r="K138" s="17"/>
      <c r="L138" s="17"/>
      <c r="M138" s="17">
        <f>SUM(M120:M137)</f>
        <v>0</v>
      </c>
      <c r="N138" s="87">
        <f>SUM(N120:N137)</f>
        <v>20910.61</v>
      </c>
      <c r="O138" s="87">
        <f>SUM(O120:O137)</f>
        <v>250927.32</v>
      </c>
      <c r="P138" s="67"/>
      <c r="Q138" s="2"/>
      <c r="R138" s="2"/>
      <c r="S138" s="2"/>
    </row>
    <row r="139" spans="1:20" s="1" customFormat="1" ht="47.25" customHeight="1" x14ac:dyDescent="0.35">
      <c r="A139" s="153" t="s">
        <v>35</v>
      </c>
      <c r="B139" s="154"/>
      <c r="C139" s="154"/>
      <c r="D139" s="154"/>
      <c r="E139" s="154"/>
      <c r="F139" s="154"/>
      <c r="G139" s="154"/>
      <c r="H139" s="154"/>
      <c r="I139" s="154"/>
      <c r="J139" s="154"/>
      <c r="K139" s="154"/>
      <c r="L139" s="154"/>
      <c r="M139" s="154"/>
      <c r="N139" s="154"/>
      <c r="O139" s="155"/>
      <c r="P139" s="67"/>
      <c r="Q139" s="2"/>
      <c r="R139" s="2"/>
      <c r="S139" s="2"/>
    </row>
    <row r="140" spans="1:20" s="1" customFormat="1" ht="35.1" customHeight="1" x14ac:dyDescent="0.45">
      <c r="A140" s="75">
        <v>1</v>
      </c>
      <c r="B140" s="148" t="s">
        <v>92</v>
      </c>
      <c r="C140" s="82">
        <v>8</v>
      </c>
      <c r="D140" s="14">
        <v>0.5</v>
      </c>
      <c r="E140" s="15">
        <f>ROUND(852*1.64,0)</f>
        <v>1397</v>
      </c>
      <c r="F140" s="19"/>
      <c r="G140" s="15"/>
      <c r="H140" s="19">
        <v>50</v>
      </c>
      <c r="I140" s="15">
        <f>E140*H140/100</f>
        <v>698.5</v>
      </c>
      <c r="J140" s="28"/>
      <c r="K140" s="15"/>
      <c r="L140" s="52"/>
      <c r="M140" s="15"/>
      <c r="N140" s="78">
        <f t="shared" ref="N140:N141" si="62">E140*D140+G140+K140+M140+I140</f>
        <v>1397</v>
      </c>
      <c r="O140" s="78">
        <f>N140*12</f>
        <v>16764</v>
      </c>
      <c r="P140" s="67"/>
      <c r="Q140" s="2"/>
      <c r="R140" s="2"/>
      <c r="S140" s="2"/>
    </row>
    <row r="141" spans="1:20" s="1" customFormat="1" ht="35.1" customHeight="1" x14ac:dyDescent="0.45">
      <c r="A141" s="75">
        <v>2</v>
      </c>
      <c r="B141" s="76" t="s">
        <v>87</v>
      </c>
      <c r="C141" s="95">
        <v>5</v>
      </c>
      <c r="D141" s="14">
        <v>1</v>
      </c>
      <c r="E141" s="15">
        <v>1253</v>
      </c>
      <c r="F141" s="15"/>
      <c r="G141" s="15"/>
      <c r="H141" s="19"/>
      <c r="I141" s="15"/>
      <c r="J141" s="28"/>
      <c r="K141" s="15"/>
      <c r="L141" s="52"/>
      <c r="M141" s="15"/>
      <c r="N141" s="78">
        <f t="shared" si="62"/>
        <v>1253</v>
      </c>
      <c r="O141" s="78">
        <f>N141*12</f>
        <v>15036</v>
      </c>
      <c r="P141" s="67"/>
      <c r="Q141" s="2"/>
      <c r="R141" s="2"/>
      <c r="S141" s="2"/>
    </row>
    <row r="142" spans="1:20" s="1" customFormat="1" ht="37.5" customHeight="1" x14ac:dyDescent="0.5">
      <c r="A142" s="75"/>
      <c r="B142" s="122" t="s">
        <v>42</v>
      </c>
      <c r="C142" s="86"/>
      <c r="D142" s="16">
        <f>SUM(D140:D141)</f>
        <v>1.5</v>
      </c>
      <c r="E142" s="17">
        <f>D140*E140+D141*E141</f>
        <v>1951.5</v>
      </c>
      <c r="F142" s="17"/>
      <c r="G142" s="17">
        <f>SUM(G140:G141)</f>
        <v>0</v>
      </c>
      <c r="H142" s="108"/>
      <c r="I142" s="17">
        <f>SUM(I140:I141)</f>
        <v>698.5</v>
      </c>
      <c r="J142" s="109"/>
      <c r="K142" s="17"/>
      <c r="L142" s="92"/>
      <c r="M142" s="17"/>
      <c r="N142" s="87">
        <f>SUM(N140:N141)</f>
        <v>2650</v>
      </c>
      <c r="O142" s="87">
        <f>SUM(O140:O141)</f>
        <v>31800</v>
      </c>
      <c r="P142" s="67"/>
      <c r="Q142" s="2"/>
      <c r="R142" s="2"/>
      <c r="S142" s="2"/>
    </row>
    <row r="143" spans="1:20" s="1" customFormat="1" ht="37.5" customHeight="1" x14ac:dyDescent="0.5">
      <c r="A143" s="75"/>
      <c r="B143" s="122" t="s">
        <v>55</v>
      </c>
      <c r="C143" s="96"/>
      <c r="D143" s="16">
        <f>D138+D142</f>
        <v>9.5</v>
      </c>
      <c r="E143" s="17">
        <f>E142+E138</f>
        <v>9141.3799999999992</v>
      </c>
      <c r="F143" s="15"/>
      <c r="G143" s="17">
        <f>G138+G142</f>
        <v>884.4</v>
      </c>
      <c r="H143" s="108"/>
      <c r="I143" s="17">
        <f>I142+I138</f>
        <v>9785.83</v>
      </c>
      <c r="J143" s="109"/>
      <c r="K143" s="17"/>
      <c r="L143" s="92"/>
      <c r="M143" s="17"/>
      <c r="N143" s="87">
        <f>N138+N142</f>
        <v>23560.61</v>
      </c>
      <c r="O143" s="87">
        <f>O138+O142</f>
        <v>282727.32</v>
      </c>
      <c r="P143" s="67"/>
      <c r="Q143" s="2"/>
      <c r="R143" s="2"/>
      <c r="S143" s="2"/>
    </row>
    <row r="144" spans="1:20" s="1" customFormat="1" ht="44.25" customHeight="1" x14ac:dyDescent="0.35">
      <c r="A144" s="153" t="s">
        <v>131</v>
      </c>
      <c r="B144" s="154"/>
      <c r="C144" s="154"/>
      <c r="D144" s="154"/>
      <c r="E144" s="154"/>
      <c r="F144" s="154"/>
      <c r="G144" s="154"/>
      <c r="H144" s="154"/>
      <c r="I144" s="154"/>
      <c r="J144" s="154"/>
      <c r="K144" s="154"/>
      <c r="L144" s="154"/>
      <c r="M144" s="154"/>
      <c r="N144" s="154"/>
      <c r="O144" s="155"/>
      <c r="P144" s="67"/>
      <c r="Q144" s="2"/>
      <c r="R144" s="2"/>
      <c r="S144" s="2"/>
    </row>
    <row r="145" spans="1:19" s="1" customFormat="1" ht="35.1" customHeight="1" x14ac:dyDescent="0.45">
      <c r="A145" s="75">
        <v>1</v>
      </c>
      <c r="B145" s="76" t="s">
        <v>6</v>
      </c>
      <c r="C145" s="77">
        <v>1</v>
      </c>
      <c r="D145" s="14">
        <v>1</v>
      </c>
      <c r="E145" s="15">
        <v>1218</v>
      </c>
      <c r="F145" s="15"/>
      <c r="G145" s="15"/>
      <c r="H145" s="19"/>
      <c r="I145" s="15"/>
      <c r="J145" s="15"/>
      <c r="K145" s="15"/>
      <c r="L145" s="81"/>
      <c r="M145" s="15"/>
      <c r="N145" s="78">
        <f>D145*E145+G145+I145+K145+M145</f>
        <v>1218</v>
      </c>
      <c r="O145" s="78">
        <f>N145*12</f>
        <v>14616</v>
      </c>
      <c r="P145" s="67"/>
      <c r="Q145" s="2"/>
      <c r="R145" s="2"/>
      <c r="S145" s="2"/>
    </row>
    <row r="146" spans="1:19" s="1" customFormat="1" ht="35.1" customHeight="1" x14ac:dyDescent="0.5">
      <c r="A146" s="75">
        <v>2</v>
      </c>
      <c r="B146" s="76" t="s">
        <v>76</v>
      </c>
      <c r="C146" s="82">
        <v>1</v>
      </c>
      <c r="D146" s="14">
        <v>1.5</v>
      </c>
      <c r="E146" s="15">
        <v>1218</v>
      </c>
      <c r="F146" s="15"/>
      <c r="G146" s="15"/>
      <c r="H146" s="19"/>
      <c r="I146" s="15"/>
      <c r="J146" s="15"/>
      <c r="K146" s="15"/>
      <c r="L146" s="92"/>
      <c r="M146" s="17"/>
      <c r="N146" s="78">
        <f t="shared" ref="N146:N158" si="63">D146*E146+G146+I146+K146+M146</f>
        <v>1827</v>
      </c>
      <c r="O146" s="78">
        <f t="shared" ref="O146:O158" si="64">N146*12</f>
        <v>21924</v>
      </c>
      <c r="P146" s="67"/>
      <c r="Q146" s="2"/>
      <c r="R146" s="2"/>
      <c r="S146" s="2"/>
    </row>
    <row r="147" spans="1:19" s="1" customFormat="1" ht="35.1" customHeight="1" x14ac:dyDescent="0.45">
      <c r="A147" s="75">
        <v>3</v>
      </c>
      <c r="B147" s="76" t="s">
        <v>73</v>
      </c>
      <c r="C147" s="77">
        <v>2</v>
      </c>
      <c r="D147" s="14">
        <v>1</v>
      </c>
      <c r="E147" s="15">
        <v>1223</v>
      </c>
      <c r="F147" s="15"/>
      <c r="G147" s="15"/>
      <c r="H147" s="19"/>
      <c r="I147" s="15"/>
      <c r="J147" s="15"/>
      <c r="K147" s="15"/>
      <c r="L147" s="81"/>
      <c r="M147" s="15"/>
      <c r="N147" s="78">
        <f t="shared" ref="N147:N157" si="65">D147*E147+G147+I147+K147+M147</f>
        <v>1223</v>
      </c>
      <c r="O147" s="78">
        <f t="shared" si="64"/>
        <v>14676</v>
      </c>
      <c r="P147" s="67"/>
      <c r="Q147" s="2"/>
      <c r="R147" s="2"/>
      <c r="S147" s="2"/>
    </row>
    <row r="148" spans="1:19" s="1" customFormat="1" ht="35.1" customHeight="1" x14ac:dyDescent="0.45">
      <c r="A148" s="75">
        <v>4</v>
      </c>
      <c r="B148" s="128" t="s">
        <v>74</v>
      </c>
      <c r="C148" s="77">
        <v>5</v>
      </c>
      <c r="D148" s="14">
        <v>0.5</v>
      </c>
      <c r="E148" s="15">
        <v>1253</v>
      </c>
      <c r="F148" s="15"/>
      <c r="G148" s="15"/>
      <c r="H148" s="19">
        <v>30</v>
      </c>
      <c r="I148" s="15">
        <f>E148*H148/100</f>
        <v>375.9</v>
      </c>
      <c r="J148" s="15"/>
      <c r="K148" s="15"/>
      <c r="L148" s="81"/>
      <c r="M148" s="15"/>
      <c r="N148" s="78">
        <f t="shared" si="65"/>
        <v>1002.4</v>
      </c>
      <c r="O148" s="78">
        <f t="shared" si="64"/>
        <v>12028.8</v>
      </c>
      <c r="P148" s="67"/>
      <c r="Q148" s="2"/>
      <c r="R148" s="2"/>
      <c r="S148" s="2"/>
    </row>
    <row r="149" spans="1:19" s="1" customFormat="1" ht="35.1" customHeight="1" x14ac:dyDescent="0.45">
      <c r="A149" s="75">
        <v>5</v>
      </c>
      <c r="B149" s="76" t="s">
        <v>74</v>
      </c>
      <c r="C149" s="77">
        <v>5</v>
      </c>
      <c r="D149" s="14">
        <v>1</v>
      </c>
      <c r="E149" s="15">
        <v>1253</v>
      </c>
      <c r="F149" s="15"/>
      <c r="G149" s="15"/>
      <c r="H149" s="19">
        <v>30</v>
      </c>
      <c r="I149" s="15">
        <f>E149*H149/100</f>
        <v>375.9</v>
      </c>
      <c r="J149" s="15"/>
      <c r="K149" s="15"/>
      <c r="L149" s="81"/>
      <c r="M149" s="15"/>
      <c r="N149" s="78">
        <f t="shared" si="65"/>
        <v>1628.9</v>
      </c>
      <c r="O149" s="78">
        <f t="shared" si="64"/>
        <v>19546.8</v>
      </c>
      <c r="P149" s="67"/>
      <c r="Q149" s="2"/>
      <c r="R149" s="2"/>
      <c r="S149" s="2"/>
    </row>
    <row r="150" spans="1:19" s="1" customFormat="1" ht="69.95" customHeight="1" x14ac:dyDescent="0.45">
      <c r="A150" s="75">
        <v>6</v>
      </c>
      <c r="B150" s="76" t="s">
        <v>97</v>
      </c>
      <c r="C150" s="77">
        <v>4</v>
      </c>
      <c r="D150" s="14">
        <v>0.5</v>
      </c>
      <c r="E150" s="15">
        <v>1243</v>
      </c>
      <c r="F150" s="15"/>
      <c r="G150" s="15"/>
      <c r="H150" s="15"/>
      <c r="I150" s="15"/>
      <c r="J150" s="15"/>
      <c r="K150" s="15"/>
      <c r="L150" s="81"/>
      <c r="M150" s="15"/>
      <c r="N150" s="78">
        <f t="shared" si="65"/>
        <v>621.5</v>
      </c>
      <c r="O150" s="78">
        <f t="shared" si="64"/>
        <v>7458</v>
      </c>
      <c r="P150" s="79"/>
      <c r="Q150" s="2"/>
      <c r="R150" s="2"/>
      <c r="S150" s="2"/>
    </row>
    <row r="151" spans="1:19" s="1" customFormat="1" ht="35.1" customHeight="1" x14ac:dyDescent="0.45">
      <c r="A151" s="75">
        <v>7</v>
      </c>
      <c r="B151" s="148" t="s">
        <v>107</v>
      </c>
      <c r="C151" s="77">
        <v>1</v>
      </c>
      <c r="D151" s="14">
        <v>1</v>
      </c>
      <c r="E151" s="15">
        <v>1218</v>
      </c>
      <c r="F151" s="15"/>
      <c r="G151" s="15"/>
      <c r="H151" s="19"/>
      <c r="I151" s="15"/>
      <c r="J151" s="15"/>
      <c r="K151" s="15"/>
      <c r="L151" s="81"/>
      <c r="M151" s="15"/>
      <c r="N151" s="78">
        <f t="shared" si="65"/>
        <v>1218</v>
      </c>
      <c r="O151" s="78">
        <f t="shared" si="64"/>
        <v>14616</v>
      </c>
      <c r="P151" s="67"/>
      <c r="Q151" s="2"/>
      <c r="R151" s="2"/>
      <c r="S151" s="2"/>
    </row>
    <row r="152" spans="1:19" s="1" customFormat="1" ht="35.1" customHeight="1" x14ac:dyDescent="0.45">
      <c r="A152" s="75">
        <v>8</v>
      </c>
      <c r="B152" s="148" t="s">
        <v>7</v>
      </c>
      <c r="C152" s="77">
        <v>2</v>
      </c>
      <c r="D152" s="14">
        <v>0</v>
      </c>
      <c r="E152" s="15">
        <v>1223</v>
      </c>
      <c r="F152" s="15"/>
      <c r="G152" s="15"/>
      <c r="H152" s="19">
        <v>40</v>
      </c>
      <c r="I152" s="15">
        <f>E152*H152/100</f>
        <v>489.2</v>
      </c>
      <c r="J152" s="15"/>
      <c r="K152" s="15"/>
      <c r="L152" s="52"/>
      <c r="M152" s="15"/>
      <c r="N152" s="78">
        <f t="shared" si="65"/>
        <v>489.2</v>
      </c>
      <c r="O152" s="78">
        <f t="shared" si="64"/>
        <v>5870.4</v>
      </c>
      <c r="P152" s="67"/>
      <c r="Q152" s="2"/>
      <c r="R152" s="2"/>
      <c r="S152" s="2"/>
    </row>
    <row r="153" spans="1:19" s="1" customFormat="1" ht="35.1" customHeight="1" x14ac:dyDescent="0.45">
      <c r="A153" s="75">
        <v>9</v>
      </c>
      <c r="B153" s="148" t="s">
        <v>7</v>
      </c>
      <c r="C153" s="77">
        <v>2</v>
      </c>
      <c r="D153" s="14">
        <v>1</v>
      </c>
      <c r="E153" s="15">
        <v>1223</v>
      </c>
      <c r="F153" s="15"/>
      <c r="G153" s="15"/>
      <c r="H153" s="19"/>
      <c r="I153" s="15"/>
      <c r="J153" s="15"/>
      <c r="K153" s="15"/>
      <c r="L153" s="52"/>
      <c r="M153" s="15"/>
      <c r="N153" s="78">
        <f t="shared" si="65"/>
        <v>1223</v>
      </c>
      <c r="O153" s="78">
        <f t="shared" si="64"/>
        <v>14676</v>
      </c>
      <c r="P153" s="67"/>
      <c r="Q153" s="2"/>
      <c r="R153" s="2"/>
      <c r="S153" s="2"/>
    </row>
    <row r="154" spans="1:19" s="1" customFormat="1" ht="35.1" customHeight="1" x14ac:dyDescent="0.45">
      <c r="A154" s="75">
        <v>10</v>
      </c>
      <c r="B154" s="148" t="s">
        <v>75</v>
      </c>
      <c r="C154" s="77">
        <v>3</v>
      </c>
      <c r="D154" s="14">
        <v>1</v>
      </c>
      <c r="E154" s="15">
        <v>1233</v>
      </c>
      <c r="F154" s="15"/>
      <c r="G154" s="15"/>
      <c r="H154" s="19"/>
      <c r="I154" s="15"/>
      <c r="J154" s="15"/>
      <c r="K154" s="15"/>
      <c r="L154" s="52"/>
      <c r="M154" s="15"/>
      <c r="N154" s="78">
        <f t="shared" si="65"/>
        <v>1233</v>
      </c>
      <c r="O154" s="78">
        <f t="shared" si="64"/>
        <v>14796</v>
      </c>
      <c r="P154" s="67"/>
      <c r="Q154" s="2"/>
      <c r="R154" s="2"/>
      <c r="S154" s="2"/>
    </row>
    <row r="155" spans="1:19" s="1" customFormat="1" ht="35.1" customHeight="1" x14ac:dyDescent="0.45">
      <c r="A155" s="75">
        <v>11</v>
      </c>
      <c r="B155" s="148" t="s">
        <v>8</v>
      </c>
      <c r="C155" s="95">
        <v>2</v>
      </c>
      <c r="D155" s="14">
        <v>0</v>
      </c>
      <c r="E155" s="15">
        <v>1223</v>
      </c>
      <c r="F155" s="15"/>
      <c r="G155" s="15"/>
      <c r="H155" s="19">
        <v>15</v>
      </c>
      <c r="I155" s="15">
        <f>E155*H155/100</f>
        <v>183.45</v>
      </c>
      <c r="J155" s="15"/>
      <c r="K155" s="15"/>
      <c r="L155" s="110"/>
      <c r="M155" s="15"/>
      <c r="N155" s="78">
        <f t="shared" si="65"/>
        <v>183.45</v>
      </c>
      <c r="O155" s="78">
        <f t="shared" si="64"/>
        <v>2201.4</v>
      </c>
      <c r="P155" s="67"/>
      <c r="Q155" s="2"/>
      <c r="R155" s="2"/>
      <c r="S155" s="2"/>
    </row>
    <row r="156" spans="1:19" s="1" customFormat="1" ht="35.1" customHeight="1" x14ac:dyDescent="0.45">
      <c r="A156" s="75">
        <v>12</v>
      </c>
      <c r="B156" s="148" t="s">
        <v>98</v>
      </c>
      <c r="C156" s="95">
        <v>2</v>
      </c>
      <c r="D156" s="14">
        <v>0</v>
      </c>
      <c r="E156" s="15">
        <v>1223</v>
      </c>
      <c r="F156" s="15"/>
      <c r="G156" s="15"/>
      <c r="H156" s="19">
        <v>20</v>
      </c>
      <c r="I156" s="15">
        <f>E156*H156/100</f>
        <v>244.6</v>
      </c>
      <c r="J156" s="15"/>
      <c r="K156" s="15"/>
      <c r="L156" s="110"/>
      <c r="M156" s="15"/>
      <c r="N156" s="78">
        <f t="shared" si="65"/>
        <v>244.6</v>
      </c>
      <c r="O156" s="78">
        <f t="shared" si="64"/>
        <v>2935.2</v>
      </c>
      <c r="P156" s="67"/>
      <c r="Q156" s="2"/>
      <c r="R156" s="2"/>
      <c r="S156" s="2"/>
    </row>
    <row r="157" spans="1:19" s="1" customFormat="1" ht="35.1" customHeight="1" x14ac:dyDescent="0.5">
      <c r="A157" s="75">
        <v>13</v>
      </c>
      <c r="B157" s="148" t="s">
        <v>99</v>
      </c>
      <c r="C157" s="95">
        <v>2</v>
      </c>
      <c r="D157" s="14">
        <v>0</v>
      </c>
      <c r="E157" s="15">
        <v>1223</v>
      </c>
      <c r="F157" s="15"/>
      <c r="G157" s="17"/>
      <c r="H157" s="108"/>
      <c r="I157" s="17"/>
      <c r="J157" s="17"/>
      <c r="K157" s="17"/>
      <c r="L157" s="52">
        <v>10</v>
      </c>
      <c r="M157" s="15">
        <f>8*E157*L157/100</f>
        <v>978.4</v>
      </c>
      <c r="N157" s="78">
        <f t="shared" si="65"/>
        <v>978.4</v>
      </c>
      <c r="O157" s="78">
        <f t="shared" si="64"/>
        <v>11740.8</v>
      </c>
      <c r="P157" s="67"/>
      <c r="Q157" s="2"/>
      <c r="R157" s="2"/>
      <c r="S157" s="2"/>
    </row>
    <row r="158" spans="1:19" s="1" customFormat="1" ht="35.1" customHeight="1" x14ac:dyDescent="0.5">
      <c r="A158" s="75">
        <v>14</v>
      </c>
      <c r="B158" s="148" t="s">
        <v>99</v>
      </c>
      <c r="C158" s="95">
        <v>2</v>
      </c>
      <c r="D158" s="14">
        <v>4</v>
      </c>
      <c r="E158" s="15">
        <v>1223</v>
      </c>
      <c r="F158" s="15"/>
      <c r="G158" s="17"/>
      <c r="H158" s="108"/>
      <c r="I158" s="17"/>
      <c r="J158" s="17"/>
      <c r="K158" s="17"/>
      <c r="L158" s="92"/>
      <c r="M158" s="17"/>
      <c r="N158" s="78">
        <f t="shared" si="63"/>
        <v>4892</v>
      </c>
      <c r="O158" s="78">
        <f t="shared" si="64"/>
        <v>58704</v>
      </c>
      <c r="P158" s="67"/>
      <c r="Q158" s="2"/>
      <c r="R158" s="2"/>
      <c r="S158" s="2"/>
    </row>
    <row r="159" spans="1:19" s="1" customFormat="1" ht="39.75" customHeight="1" x14ac:dyDescent="0.5">
      <c r="A159" s="111"/>
      <c r="B159" s="147" t="s">
        <v>41</v>
      </c>
      <c r="C159" s="112"/>
      <c r="D159" s="16">
        <f>SUM(D145:D158)</f>
        <v>12.5</v>
      </c>
      <c r="E159" s="17">
        <f>D145*E145+D146*E146+D147*E147+D148*E148+D149*E149+D150*E150+D151*E151+D152*E152+D153*E153+D154*E154+D155*E155+D156*E156+D158*E158+D157*E157</f>
        <v>15335</v>
      </c>
      <c r="F159" s="17"/>
      <c r="G159" s="17"/>
      <c r="H159" s="108"/>
      <c r="I159" s="17">
        <f>SUM(I145:I158)</f>
        <v>1669.05</v>
      </c>
      <c r="J159" s="17"/>
      <c r="K159" s="17"/>
      <c r="L159" s="92"/>
      <c r="M159" s="17">
        <f>SUM(M145:M158)</f>
        <v>978.4</v>
      </c>
      <c r="N159" s="87">
        <f>SUM(N145:N158)</f>
        <v>17982.45</v>
      </c>
      <c r="O159" s="87">
        <f>SUM(O145:O158)</f>
        <v>215789.4</v>
      </c>
      <c r="P159" s="67"/>
      <c r="Q159" s="2"/>
      <c r="R159" s="2"/>
      <c r="S159" s="2"/>
    </row>
    <row r="160" spans="1:19" s="1" customFormat="1" ht="40.5" customHeight="1" x14ac:dyDescent="0.35">
      <c r="A160" s="153" t="s">
        <v>127</v>
      </c>
      <c r="B160" s="154"/>
      <c r="C160" s="154"/>
      <c r="D160" s="154"/>
      <c r="E160" s="154"/>
      <c r="F160" s="154"/>
      <c r="G160" s="154"/>
      <c r="H160" s="154"/>
      <c r="I160" s="154"/>
      <c r="J160" s="154"/>
      <c r="K160" s="154"/>
      <c r="L160" s="154"/>
      <c r="M160" s="154"/>
      <c r="N160" s="154"/>
      <c r="O160" s="155"/>
      <c r="P160" s="67"/>
      <c r="Q160" s="2"/>
      <c r="R160" s="2"/>
      <c r="S160" s="2"/>
    </row>
    <row r="161" spans="1:19" s="1" customFormat="1" ht="35.1" customHeight="1" x14ac:dyDescent="0.45">
      <c r="A161" s="75">
        <v>1</v>
      </c>
      <c r="B161" s="148" t="s">
        <v>76</v>
      </c>
      <c r="C161" s="82">
        <v>1</v>
      </c>
      <c r="D161" s="14">
        <v>1.5</v>
      </c>
      <c r="E161" s="15">
        <v>1218</v>
      </c>
      <c r="F161" s="15"/>
      <c r="G161" s="15"/>
      <c r="H161" s="15"/>
      <c r="I161" s="15"/>
      <c r="J161" s="15"/>
      <c r="K161" s="15"/>
      <c r="L161" s="52"/>
      <c r="M161" s="15"/>
      <c r="N161" s="78">
        <f>D161*E161+G161+I161+K161+M161</f>
        <v>1827</v>
      </c>
      <c r="O161" s="78">
        <f>N161*12</f>
        <v>21924</v>
      </c>
      <c r="P161" s="67"/>
      <c r="Q161" s="2"/>
      <c r="R161" s="2"/>
      <c r="S161" s="2"/>
    </row>
    <row r="162" spans="1:19" s="1" customFormat="1" ht="35.1" customHeight="1" x14ac:dyDescent="0.45">
      <c r="A162" s="75">
        <v>2</v>
      </c>
      <c r="B162" s="148" t="s">
        <v>6</v>
      </c>
      <c r="C162" s="82">
        <v>1</v>
      </c>
      <c r="D162" s="14">
        <v>1</v>
      </c>
      <c r="E162" s="15">
        <v>1218</v>
      </c>
      <c r="F162" s="15"/>
      <c r="G162" s="15"/>
      <c r="H162" s="15"/>
      <c r="I162" s="15"/>
      <c r="J162" s="15"/>
      <c r="K162" s="15"/>
      <c r="L162" s="52"/>
      <c r="M162" s="15"/>
      <c r="N162" s="78">
        <f t="shared" ref="N162:N163" si="66">D162*E162+G162+I162+K162+M162</f>
        <v>1218</v>
      </c>
      <c r="O162" s="78">
        <f t="shared" ref="O162:O171" si="67">N162*12</f>
        <v>14616</v>
      </c>
      <c r="P162" s="67"/>
      <c r="Q162" s="2"/>
      <c r="R162" s="2"/>
      <c r="S162" s="2"/>
    </row>
    <row r="163" spans="1:19" s="1" customFormat="1" ht="35.1" customHeight="1" x14ac:dyDescent="0.45">
      <c r="A163" s="75">
        <v>3</v>
      </c>
      <c r="B163" s="76" t="s">
        <v>74</v>
      </c>
      <c r="C163" s="77">
        <v>5</v>
      </c>
      <c r="D163" s="14">
        <v>0.5</v>
      </c>
      <c r="E163" s="15">
        <v>1253</v>
      </c>
      <c r="F163" s="15"/>
      <c r="G163" s="15"/>
      <c r="H163" s="19"/>
      <c r="I163" s="15"/>
      <c r="J163" s="15"/>
      <c r="K163" s="15"/>
      <c r="L163" s="81"/>
      <c r="M163" s="15"/>
      <c r="N163" s="78">
        <f t="shared" si="66"/>
        <v>626.5</v>
      </c>
      <c r="O163" s="78">
        <f t="shared" si="67"/>
        <v>7518</v>
      </c>
      <c r="P163" s="67"/>
      <c r="Q163" s="2"/>
      <c r="R163" s="2"/>
      <c r="S163" s="2"/>
    </row>
    <row r="164" spans="1:19" s="1" customFormat="1" ht="69.95" customHeight="1" x14ac:dyDescent="0.45">
      <c r="A164" s="75">
        <v>4</v>
      </c>
      <c r="B164" s="76" t="s">
        <v>97</v>
      </c>
      <c r="C164" s="77">
        <v>4</v>
      </c>
      <c r="D164" s="14">
        <v>0.5</v>
      </c>
      <c r="E164" s="15">
        <v>1243</v>
      </c>
      <c r="F164" s="15"/>
      <c r="G164" s="15"/>
      <c r="H164" s="15"/>
      <c r="I164" s="15"/>
      <c r="J164" s="15"/>
      <c r="K164" s="15"/>
      <c r="L164" s="81"/>
      <c r="M164" s="15"/>
      <c r="N164" s="78">
        <f t="shared" ref="N164:N165" si="68">D164*E164+G164+I164+K164+M164</f>
        <v>621.5</v>
      </c>
      <c r="O164" s="78">
        <f t="shared" si="67"/>
        <v>7458</v>
      </c>
      <c r="P164" s="79"/>
      <c r="Q164" s="2"/>
      <c r="R164" s="2"/>
      <c r="S164" s="2"/>
    </row>
    <row r="165" spans="1:19" s="1" customFormat="1" ht="35.1" customHeight="1" x14ac:dyDescent="0.45">
      <c r="A165" s="75">
        <v>5</v>
      </c>
      <c r="B165" s="148" t="s">
        <v>73</v>
      </c>
      <c r="C165" s="77">
        <v>2</v>
      </c>
      <c r="D165" s="14">
        <v>1</v>
      </c>
      <c r="E165" s="15">
        <v>1223</v>
      </c>
      <c r="F165" s="15"/>
      <c r="G165" s="15"/>
      <c r="H165" s="19"/>
      <c r="I165" s="15"/>
      <c r="J165" s="15"/>
      <c r="K165" s="15"/>
      <c r="L165" s="81"/>
      <c r="M165" s="15"/>
      <c r="N165" s="78">
        <f t="shared" si="68"/>
        <v>1223</v>
      </c>
      <c r="O165" s="78">
        <f t="shared" si="67"/>
        <v>14676</v>
      </c>
      <c r="P165" s="67"/>
      <c r="Q165" s="2"/>
      <c r="R165" s="2"/>
      <c r="S165" s="2"/>
    </row>
    <row r="166" spans="1:19" s="1" customFormat="1" ht="35.1" customHeight="1" x14ac:dyDescent="0.45">
      <c r="A166" s="75">
        <v>6</v>
      </c>
      <c r="B166" s="148" t="s">
        <v>78</v>
      </c>
      <c r="C166" s="77">
        <v>3</v>
      </c>
      <c r="D166" s="14">
        <v>1</v>
      </c>
      <c r="E166" s="15">
        <v>1233</v>
      </c>
      <c r="F166" s="15"/>
      <c r="G166" s="15"/>
      <c r="H166" s="15"/>
      <c r="I166" s="15"/>
      <c r="J166" s="15"/>
      <c r="K166" s="15"/>
      <c r="L166" s="52"/>
      <c r="M166" s="15"/>
      <c r="N166" s="78">
        <f t="shared" ref="N166:N171" si="69">D166*E166+G166+I166+K166+M166</f>
        <v>1233</v>
      </c>
      <c r="O166" s="78">
        <f t="shared" si="67"/>
        <v>14796</v>
      </c>
      <c r="P166" s="67"/>
      <c r="Q166" s="2"/>
      <c r="R166" s="2"/>
      <c r="S166" s="2"/>
    </row>
    <row r="167" spans="1:19" s="1" customFormat="1" ht="35.1" customHeight="1" x14ac:dyDescent="0.45">
      <c r="A167" s="75">
        <v>7</v>
      </c>
      <c r="B167" s="148" t="s">
        <v>99</v>
      </c>
      <c r="C167" s="77">
        <v>2</v>
      </c>
      <c r="D167" s="14">
        <v>2</v>
      </c>
      <c r="E167" s="15">
        <v>1223</v>
      </c>
      <c r="F167" s="15"/>
      <c r="G167" s="15"/>
      <c r="H167" s="15"/>
      <c r="I167" s="15"/>
      <c r="J167" s="15"/>
      <c r="K167" s="15"/>
      <c r="L167" s="52"/>
      <c r="M167" s="15"/>
      <c r="N167" s="78">
        <f t="shared" ref="N167" si="70">D167*E167+G167+I167+K167+M167</f>
        <v>2446</v>
      </c>
      <c r="O167" s="78">
        <f t="shared" si="67"/>
        <v>29352</v>
      </c>
      <c r="P167" s="67"/>
      <c r="Q167" s="2"/>
      <c r="R167" s="2"/>
      <c r="S167" s="2"/>
    </row>
    <row r="168" spans="1:19" s="1" customFormat="1" ht="35.1" customHeight="1" x14ac:dyDescent="0.45">
      <c r="A168" s="75">
        <v>8</v>
      </c>
      <c r="B168" s="148" t="s">
        <v>99</v>
      </c>
      <c r="C168" s="77">
        <v>2</v>
      </c>
      <c r="D168" s="14">
        <v>0</v>
      </c>
      <c r="E168" s="15">
        <v>1223</v>
      </c>
      <c r="F168" s="15"/>
      <c r="G168" s="15"/>
      <c r="H168" s="15"/>
      <c r="I168" s="15"/>
      <c r="J168" s="15"/>
      <c r="K168" s="15"/>
      <c r="L168" s="52">
        <v>10</v>
      </c>
      <c r="M168" s="15">
        <f>4*E168*L168/100</f>
        <v>489.2</v>
      </c>
      <c r="N168" s="78">
        <f>D168*E168+G168+I168+K168+M168</f>
        <v>489.2</v>
      </c>
      <c r="O168" s="78">
        <f t="shared" si="67"/>
        <v>5870.4</v>
      </c>
      <c r="P168" s="67"/>
      <c r="Q168" s="2"/>
      <c r="R168" s="2"/>
      <c r="S168" s="2"/>
    </row>
    <row r="169" spans="1:19" s="1" customFormat="1" ht="35.1" customHeight="1" x14ac:dyDescent="0.45">
      <c r="A169" s="75">
        <v>9</v>
      </c>
      <c r="B169" s="148" t="s">
        <v>99</v>
      </c>
      <c r="C169" s="77">
        <v>2</v>
      </c>
      <c r="D169" s="14">
        <v>3</v>
      </c>
      <c r="E169" s="15">
        <v>1223</v>
      </c>
      <c r="F169" s="15"/>
      <c r="G169" s="15"/>
      <c r="H169" s="15"/>
      <c r="I169" s="15"/>
      <c r="J169" s="15"/>
      <c r="K169" s="15"/>
      <c r="L169" s="52">
        <v>10</v>
      </c>
      <c r="M169" s="15">
        <f>E169*D169*L169/100</f>
        <v>366.9</v>
      </c>
      <c r="N169" s="78">
        <f>D169*E169+G169+I169+K169+M169</f>
        <v>4035.9</v>
      </c>
      <c r="O169" s="78">
        <f t="shared" si="67"/>
        <v>48430.8</v>
      </c>
      <c r="P169" s="67"/>
      <c r="Q169" s="2"/>
      <c r="R169" s="2"/>
      <c r="S169" s="2"/>
    </row>
    <row r="170" spans="1:19" s="1" customFormat="1" ht="35.1" customHeight="1" x14ac:dyDescent="0.45">
      <c r="A170" s="75">
        <v>10</v>
      </c>
      <c r="B170" s="148" t="s">
        <v>98</v>
      </c>
      <c r="C170" s="77">
        <v>1</v>
      </c>
      <c r="D170" s="14">
        <v>1</v>
      </c>
      <c r="E170" s="15">
        <v>1218</v>
      </c>
      <c r="F170" s="15"/>
      <c r="G170" s="15"/>
      <c r="H170" s="19"/>
      <c r="I170" s="15"/>
      <c r="J170" s="15"/>
      <c r="K170" s="15"/>
      <c r="L170" s="52"/>
      <c r="M170" s="15"/>
      <c r="N170" s="78">
        <f t="shared" si="69"/>
        <v>1218</v>
      </c>
      <c r="O170" s="78">
        <f t="shared" si="67"/>
        <v>14616</v>
      </c>
      <c r="P170" s="67"/>
      <c r="Q170" s="2"/>
      <c r="R170" s="2"/>
      <c r="S170" s="2"/>
    </row>
    <row r="171" spans="1:19" s="1" customFormat="1" ht="35.1" customHeight="1" x14ac:dyDescent="0.45">
      <c r="A171" s="75">
        <v>11</v>
      </c>
      <c r="B171" s="148" t="s">
        <v>103</v>
      </c>
      <c r="C171" s="77">
        <v>1</v>
      </c>
      <c r="D171" s="14">
        <v>1</v>
      </c>
      <c r="E171" s="15">
        <v>1218</v>
      </c>
      <c r="F171" s="15"/>
      <c r="G171" s="15"/>
      <c r="H171" s="15"/>
      <c r="I171" s="15"/>
      <c r="J171" s="15"/>
      <c r="K171" s="15"/>
      <c r="L171" s="52"/>
      <c r="M171" s="15"/>
      <c r="N171" s="78">
        <f t="shared" si="69"/>
        <v>1218</v>
      </c>
      <c r="O171" s="78">
        <f t="shared" si="67"/>
        <v>14616</v>
      </c>
      <c r="P171" s="67"/>
      <c r="Q171" s="2"/>
      <c r="R171" s="2"/>
      <c r="S171" s="2"/>
    </row>
    <row r="172" spans="1:19" s="1" customFormat="1" ht="35.25" customHeight="1" x14ac:dyDescent="0.5">
      <c r="A172" s="75"/>
      <c r="B172" s="122" t="s">
        <v>42</v>
      </c>
      <c r="C172" s="77"/>
      <c r="D172" s="16">
        <f>SUM(D161:D171)</f>
        <v>12.5</v>
      </c>
      <c r="E172" s="17">
        <f>D161*E161+D163*E163+D164*E164+D165*E165+D167*E167+D166*E166+D169*E169+D170*E170+D171*E171+D162*E162</f>
        <v>15300</v>
      </c>
      <c r="F172" s="17"/>
      <c r="G172" s="17"/>
      <c r="H172" s="17"/>
      <c r="I172" s="17">
        <f>SUM(I161:I171)</f>
        <v>0</v>
      </c>
      <c r="J172" s="17"/>
      <c r="K172" s="17"/>
      <c r="L172" s="27"/>
      <c r="M172" s="17">
        <f>SUM(M161:M171)</f>
        <v>856.1</v>
      </c>
      <c r="N172" s="87">
        <f>SUM(N161:N171)</f>
        <v>16156.1</v>
      </c>
      <c r="O172" s="87">
        <f>SUM(O161:O171)</f>
        <v>193873.2</v>
      </c>
      <c r="P172" s="67"/>
      <c r="Q172" s="2"/>
      <c r="R172" s="2"/>
      <c r="S172" s="2"/>
    </row>
    <row r="173" spans="1:19" s="1" customFormat="1" ht="36.75" customHeight="1" x14ac:dyDescent="0.5">
      <c r="A173" s="75"/>
      <c r="B173" s="122" t="s">
        <v>56</v>
      </c>
      <c r="C173" s="96"/>
      <c r="D173" s="16">
        <f>D159+D172</f>
        <v>25</v>
      </c>
      <c r="E173" s="17">
        <f>E159+E172</f>
        <v>30635</v>
      </c>
      <c r="F173" s="15"/>
      <c r="G173" s="15"/>
      <c r="H173" s="15"/>
      <c r="I173" s="17">
        <f>I172+I159</f>
        <v>1669.05</v>
      </c>
      <c r="J173" s="15"/>
      <c r="K173" s="15"/>
      <c r="L173" s="27"/>
      <c r="M173" s="17">
        <f>M159+M172</f>
        <v>1834.5</v>
      </c>
      <c r="N173" s="87">
        <f>N172+N159</f>
        <v>34138.550000000003</v>
      </c>
      <c r="O173" s="87">
        <f>O172+O159</f>
        <v>409662.6</v>
      </c>
      <c r="P173" s="67"/>
      <c r="Q173" s="2"/>
      <c r="R173" s="2"/>
      <c r="S173" s="2"/>
    </row>
    <row r="174" spans="1:19" s="1" customFormat="1" ht="35.25" customHeight="1" x14ac:dyDescent="0.5">
      <c r="A174" s="75"/>
      <c r="B174" s="122" t="s">
        <v>57</v>
      </c>
      <c r="C174" s="77"/>
      <c r="D174" s="99">
        <f>D173+D143+D115+D118</f>
        <v>41.5</v>
      </c>
      <c r="E174" s="16">
        <f>E115+E143+E173</f>
        <v>50047.59</v>
      </c>
      <c r="F174" s="15"/>
      <c r="G174" s="17">
        <f>G115+G143+G173</f>
        <v>2623.45</v>
      </c>
      <c r="H174" s="17"/>
      <c r="I174" s="17">
        <f>I173+I143+I118+I115</f>
        <v>12790.23</v>
      </c>
      <c r="J174" s="15"/>
      <c r="K174" s="17">
        <f>K115+K143+K173</f>
        <v>1423.85</v>
      </c>
      <c r="L174" s="52"/>
      <c r="M174" s="17">
        <f>M115+M143+M173</f>
        <v>2231.2199999999998</v>
      </c>
      <c r="N174" s="87">
        <f>N115+N143+N173</f>
        <v>72865.350000000006</v>
      </c>
      <c r="O174" s="87">
        <f>O115+O143+O173</f>
        <v>874384.2</v>
      </c>
      <c r="P174" s="67"/>
      <c r="Q174" s="2"/>
      <c r="R174" s="2"/>
      <c r="S174" s="2"/>
    </row>
    <row r="175" spans="1:19" s="1" customFormat="1" ht="69" customHeight="1" x14ac:dyDescent="0.5">
      <c r="A175" s="139" t="s">
        <v>115</v>
      </c>
      <c r="B175" s="135" t="s">
        <v>32</v>
      </c>
      <c r="C175" s="77"/>
      <c r="D175" s="99">
        <v>23.89</v>
      </c>
      <c r="E175" s="15"/>
      <c r="F175" s="14"/>
      <c r="G175" s="15"/>
      <c r="H175" s="15"/>
      <c r="I175" s="15"/>
      <c r="J175" s="15"/>
      <c r="K175" s="15"/>
      <c r="L175" s="14"/>
      <c r="M175" s="113"/>
      <c r="N175" s="114">
        <f>75580.04-N176-N177</f>
        <v>58702.68</v>
      </c>
      <c r="O175" s="115">
        <f>N175*12</f>
        <v>704432.16</v>
      </c>
      <c r="P175" s="67"/>
      <c r="Q175" s="2"/>
      <c r="R175" s="2"/>
      <c r="S175" s="2"/>
    </row>
    <row r="176" spans="1:19" s="1" customFormat="1" ht="69" customHeight="1" x14ac:dyDescent="0.45">
      <c r="A176" s="139" t="s">
        <v>116</v>
      </c>
      <c r="B176" s="135" t="s">
        <v>47</v>
      </c>
      <c r="C176" s="77"/>
      <c r="D176" s="101"/>
      <c r="E176" s="15"/>
      <c r="F176" s="14"/>
      <c r="G176" s="15"/>
      <c r="H176" s="15"/>
      <c r="I176" s="15"/>
      <c r="J176" s="15"/>
      <c r="K176" s="15"/>
      <c r="L176" s="14"/>
      <c r="M176" s="113"/>
      <c r="N176" s="78">
        <v>9137.57</v>
      </c>
      <c r="O176" s="115">
        <f t="shared" ref="O176:O177" si="71">N176*12</f>
        <v>109650.84</v>
      </c>
      <c r="P176" s="67"/>
      <c r="Q176" s="2"/>
      <c r="R176" s="2"/>
      <c r="S176" s="2"/>
    </row>
    <row r="177" spans="1:19" s="1" customFormat="1" ht="108.95" customHeight="1" x14ac:dyDescent="0.5">
      <c r="A177" s="139" t="s">
        <v>117</v>
      </c>
      <c r="B177" s="135" t="s">
        <v>48</v>
      </c>
      <c r="C177" s="96"/>
      <c r="D177" s="99"/>
      <c r="E177" s="29"/>
      <c r="F177" s="30"/>
      <c r="G177" s="31"/>
      <c r="H177" s="31"/>
      <c r="I177" s="31"/>
      <c r="J177" s="129"/>
      <c r="K177" s="129"/>
      <c r="L177" s="130"/>
      <c r="M177" s="116"/>
      <c r="N177" s="117">
        <v>7739.79</v>
      </c>
      <c r="O177" s="115">
        <f t="shared" si="71"/>
        <v>92877.48</v>
      </c>
      <c r="P177" s="67"/>
      <c r="Q177" s="2"/>
      <c r="R177" s="2"/>
      <c r="S177" s="2"/>
    </row>
    <row r="178" spans="1:19" s="1" customFormat="1" ht="108.95" customHeight="1" x14ac:dyDescent="0.5">
      <c r="A178" s="139" t="s">
        <v>118</v>
      </c>
      <c r="B178" s="135" t="s">
        <v>30</v>
      </c>
      <c r="C178" s="103"/>
      <c r="D178" s="103"/>
      <c r="E178" s="103"/>
      <c r="F178" s="103"/>
      <c r="G178" s="103"/>
      <c r="H178" s="103"/>
      <c r="I178" s="103"/>
      <c r="J178" s="103"/>
      <c r="K178" s="17"/>
      <c r="L178" s="17"/>
      <c r="M178" s="17"/>
      <c r="N178" s="87"/>
      <c r="O178" s="118">
        <v>98174</v>
      </c>
      <c r="P178" s="67"/>
      <c r="Q178" s="2"/>
      <c r="R178" s="2"/>
      <c r="S178" s="2"/>
    </row>
    <row r="179" spans="1:19" s="1" customFormat="1" ht="69" customHeight="1" x14ac:dyDescent="0.5">
      <c r="A179" s="139" t="s">
        <v>119</v>
      </c>
      <c r="B179" s="135" t="s">
        <v>31</v>
      </c>
      <c r="C179" s="103"/>
      <c r="D179" s="103"/>
      <c r="E179" s="103"/>
      <c r="F179" s="103"/>
      <c r="G179" s="103"/>
      <c r="H179" s="103"/>
      <c r="I179" s="103"/>
      <c r="J179" s="103"/>
      <c r="K179" s="17"/>
      <c r="L179" s="17"/>
      <c r="M179" s="17"/>
      <c r="N179" s="87"/>
      <c r="O179" s="118">
        <v>148917.28</v>
      </c>
      <c r="P179" s="67"/>
      <c r="Q179" s="2"/>
      <c r="R179" s="2"/>
      <c r="S179" s="2"/>
    </row>
    <row r="180" spans="1:19" s="1" customFormat="1" ht="69" customHeight="1" x14ac:dyDescent="0.5">
      <c r="A180" s="139" t="s">
        <v>120</v>
      </c>
      <c r="B180" s="135" t="s">
        <v>49</v>
      </c>
      <c r="C180" s="103"/>
      <c r="D180" s="103"/>
      <c r="E180" s="103"/>
      <c r="F180" s="103"/>
      <c r="G180" s="103"/>
      <c r="H180" s="103"/>
      <c r="I180" s="103"/>
      <c r="J180" s="103"/>
      <c r="K180" s="17"/>
      <c r="L180" s="17"/>
      <c r="M180" s="17"/>
      <c r="N180" s="87"/>
      <c r="O180" s="118">
        <v>737</v>
      </c>
      <c r="P180" s="67"/>
      <c r="Q180" s="2"/>
      <c r="R180" s="2"/>
      <c r="S180" s="2"/>
    </row>
    <row r="181" spans="1:19" s="1" customFormat="1" ht="39.950000000000003" customHeight="1" x14ac:dyDescent="0.5">
      <c r="A181" s="139" t="s">
        <v>121</v>
      </c>
      <c r="B181" s="136" t="s">
        <v>72</v>
      </c>
      <c r="C181" s="133"/>
      <c r="D181" s="133"/>
      <c r="E181" s="133"/>
      <c r="F181" s="133"/>
      <c r="G181" s="133"/>
      <c r="H181" s="133"/>
      <c r="I181" s="133"/>
      <c r="J181" s="133"/>
      <c r="K181" s="133"/>
      <c r="L181" s="17"/>
      <c r="M181" s="17"/>
      <c r="N181" s="87"/>
      <c r="O181" s="118">
        <v>71210.509999999995</v>
      </c>
      <c r="P181" s="67"/>
      <c r="Q181" s="2"/>
      <c r="R181" s="2"/>
      <c r="S181" s="2"/>
    </row>
    <row r="182" spans="1:19" s="1" customFormat="1" ht="39.950000000000003" customHeight="1" x14ac:dyDescent="0.35">
      <c r="A182" s="166" t="s">
        <v>132</v>
      </c>
      <c r="B182" s="167"/>
      <c r="C182" s="167"/>
      <c r="D182" s="167"/>
      <c r="E182" s="167"/>
      <c r="F182" s="167"/>
      <c r="G182" s="167"/>
      <c r="H182" s="167"/>
      <c r="I182" s="167"/>
      <c r="J182" s="167"/>
      <c r="K182" s="167"/>
      <c r="L182" s="167"/>
      <c r="M182" s="167"/>
      <c r="N182" s="167"/>
      <c r="O182" s="168"/>
      <c r="P182" s="67"/>
      <c r="Q182" s="2"/>
      <c r="R182" s="2"/>
      <c r="S182" s="2"/>
    </row>
    <row r="183" spans="1:19" s="1" customFormat="1" ht="39.950000000000003" customHeight="1" x14ac:dyDescent="0.5">
      <c r="A183" s="139" t="s">
        <v>134</v>
      </c>
      <c r="B183" s="138" t="s">
        <v>133</v>
      </c>
      <c r="C183" s="141">
        <v>11</v>
      </c>
      <c r="D183" s="142">
        <v>1</v>
      </c>
      <c r="E183" s="131">
        <v>1678</v>
      </c>
      <c r="F183" s="119"/>
      <c r="G183" s="133"/>
      <c r="H183" s="119"/>
      <c r="I183" s="133"/>
      <c r="J183" s="119"/>
      <c r="K183" s="140"/>
      <c r="L183" s="17"/>
      <c r="M183" s="16"/>
      <c r="N183" s="78">
        <f t="shared" ref="N183" si="72">D183*E183+G183+I183+K183+M183</f>
        <v>1678</v>
      </c>
      <c r="O183" s="78">
        <f t="shared" ref="O183" si="73">N183*12</f>
        <v>20136</v>
      </c>
      <c r="P183" s="67"/>
      <c r="Q183" s="2"/>
      <c r="R183" s="2"/>
      <c r="S183" s="2"/>
    </row>
    <row r="184" spans="1:19" s="1" customFormat="1" ht="39.950000000000003" customHeight="1" x14ac:dyDescent="0.5">
      <c r="A184" s="139" t="s">
        <v>135</v>
      </c>
      <c r="B184" s="138" t="s">
        <v>89</v>
      </c>
      <c r="C184" s="141">
        <v>7</v>
      </c>
      <c r="D184" s="142">
        <v>1</v>
      </c>
      <c r="E184" s="131">
        <v>1312</v>
      </c>
      <c r="F184" s="119"/>
      <c r="G184" s="133"/>
      <c r="H184" s="119"/>
      <c r="I184" s="133"/>
      <c r="J184" s="119"/>
      <c r="K184" s="140"/>
      <c r="L184" s="17"/>
      <c r="M184" s="16"/>
      <c r="N184" s="78">
        <f t="shared" ref="N184:N186" si="74">D184*E184+G184+I184+K184+M184</f>
        <v>1312</v>
      </c>
      <c r="O184" s="78">
        <f t="shared" ref="O184:O186" si="75">N184*12</f>
        <v>15744</v>
      </c>
      <c r="P184" s="67"/>
      <c r="Q184" s="2"/>
      <c r="R184" s="2"/>
      <c r="S184" s="2"/>
    </row>
    <row r="185" spans="1:19" s="1" customFormat="1" ht="39.950000000000003" customHeight="1" x14ac:dyDescent="0.5">
      <c r="A185" s="139" t="s">
        <v>136</v>
      </c>
      <c r="B185" s="138" t="s">
        <v>87</v>
      </c>
      <c r="C185" s="141">
        <v>5</v>
      </c>
      <c r="D185" s="142">
        <v>1</v>
      </c>
      <c r="E185" s="131">
        <v>1253</v>
      </c>
      <c r="F185" s="119"/>
      <c r="G185" s="133"/>
      <c r="H185" s="119"/>
      <c r="I185" s="133"/>
      <c r="J185" s="119"/>
      <c r="K185" s="140"/>
      <c r="L185" s="17"/>
      <c r="M185" s="16"/>
      <c r="N185" s="78">
        <f t="shared" si="74"/>
        <v>1253</v>
      </c>
      <c r="O185" s="78">
        <f t="shared" si="75"/>
        <v>15036</v>
      </c>
      <c r="P185" s="67"/>
      <c r="Q185" s="2"/>
      <c r="R185" s="2"/>
      <c r="S185" s="2"/>
    </row>
    <row r="186" spans="1:19" s="1" customFormat="1" ht="39.950000000000003" customHeight="1" x14ac:dyDescent="0.5">
      <c r="A186" s="139" t="s">
        <v>137</v>
      </c>
      <c r="B186" s="138" t="s">
        <v>99</v>
      </c>
      <c r="C186" s="141">
        <v>2</v>
      </c>
      <c r="D186" s="142">
        <v>1</v>
      </c>
      <c r="E186" s="131">
        <v>1223</v>
      </c>
      <c r="F186" s="119"/>
      <c r="G186" s="133"/>
      <c r="H186" s="119"/>
      <c r="I186" s="133"/>
      <c r="J186" s="119"/>
      <c r="K186" s="140"/>
      <c r="L186" s="17"/>
      <c r="M186" s="16"/>
      <c r="N186" s="78">
        <f t="shared" si="74"/>
        <v>1223</v>
      </c>
      <c r="O186" s="78">
        <f t="shared" si="75"/>
        <v>14676</v>
      </c>
      <c r="P186" s="67"/>
      <c r="Q186" s="2"/>
      <c r="R186" s="2"/>
      <c r="S186" s="2"/>
    </row>
    <row r="187" spans="1:19" s="1" customFormat="1" ht="69.95" customHeight="1" x14ac:dyDescent="0.5">
      <c r="A187" s="139" t="s">
        <v>139</v>
      </c>
      <c r="B187" s="138" t="s">
        <v>124</v>
      </c>
      <c r="C187" s="141"/>
      <c r="D187" s="143"/>
      <c r="E187" s="131"/>
      <c r="F187" s="119"/>
      <c r="G187" s="133"/>
      <c r="H187" s="119"/>
      <c r="I187" s="133"/>
      <c r="J187" s="119"/>
      <c r="K187" s="140"/>
      <c r="L187" s="17"/>
      <c r="M187" s="16"/>
      <c r="N187" s="78"/>
      <c r="O187" s="78">
        <v>34024.53</v>
      </c>
      <c r="P187" s="67"/>
      <c r="Q187" s="2"/>
      <c r="R187" s="2"/>
      <c r="S187" s="2"/>
    </row>
    <row r="188" spans="1:19" s="1" customFormat="1" ht="69.95" customHeight="1" x14ac:dyDescent="0.5">
      <c r="A188" s="139"/>
      <c r="B188" s="91" t="s">
        <v>138</v>
      </c>
      <c r="C188" s="133"/>
      <c r="D188" s="144">
        <f>SUM(D183:D187)</f>
        <v>4</v>
      </c>
      <c r="E188" s="144">
        <f>SUM(E183:E186)</f>
        <v>5466</v>
      </c>
      <c r="F188" s="144"/>
      <c r="G188" s="144"/>
      <c r="H188" s="144"/>
      <c r="I188" s="144"/>
      <c r="J188" s="144"/>
      <c r="K188" s="144"/>
      <c r="L188" s="144"/>
      <c r="M188" s="144"/>
      <c r="N188" s="145">
        <f>SUM(N183:N186)</f>
        <v>5466</v>
      </c>
      <c r="O188" s="145">
        <f>SUM(O183:O187)</f>
        <v>99616.53</v>
      </c>
      <c r="P188" s="67"/>
      <c r="Q188" s="2"/>
      <c r="R188" s="2"/>
      <c r="S188" s="2"/>
    </row>
    <row r="189" spans="1:19" s="1" customFormat="1" ht="72.75" customHeight="1" x14ac:dyDescent="0.5">
      <c r="A189" s="98"/>
      <c r="B189" s="137" t="s">
        <v>80</v>
      </c>
      <c r="C189" s="86"/>
      <c r="D189" s="107">
        <f>D174+D175+D188</f>
        <v>69.39</v>
      </c>
      <c r="E189" s="87">
        <f>E174+E188</f>
        <v>55513.59</v>
      </c>
      <c r="F189" s="90"/>
      <c r="G189" s="87">
        <f>G174+G188</f>
        <v>2623.45</v>
      </c>
      <c r="H189" s="87"/>
      <c r="I189" s="87">
        <f t="shared" ref="I189:M189" si="76">I174+I188</f>
        <v>12790.23</v>
      </c>
      <c r="J189" s="87"/>
      <c r="K189" s="87">
        <f t="shared" si="76"/>
        <v>1423.85</v>
      </c>
      <c r="L189" s="87"/>
      <c r="M189" s="87">
        <f t="shared" si="76"/>
        <v>2231.2199999999998</v>
      </c>
      <c r="N189" s="87">
        <f>N174+N175+N176+N177+N188</f>
        <v>153911.39000000001</v>
      </c>
      <c r="O189" s="134">
        <f>O174+O175+O176+O177+O178+O179+O180+O181+O188</f>
        <v>2200000</v>
      </c>
      <c r="P189" s="67"/>
      <c r="Q189" s="2"/>
      <c r="R189" s="2"/>
      <c r="S189" s="2"/>
    </row>
    <row r="190" spans="1:19" ht="171" customHeight="1" x14ac:dyDescent="0.5">
      <c r="A190" s="120"/>
      <c r="B190" s="137" t="s">
        <v>79</v>
      </c>
      <c r="C190" s="96"/>
      <c r="D190" s="146">
        <f>D189+D100</f>
        <v>208.09</v>
      </c>
      <c r="E190" s="146">
        <f>E189+E100</f>
        <v>166233.62</v>
      </c>
      <c r="F190" s="146"/>
      <c r="G190" s="146">
        <f>G189+G100</f>
        <v>9653.4599999999991</v>
      </c>
      <c r="H190" s="146"/>
      <c r="I190" s="146">
        <f>I189+I100</f>
        <v>13693.23</v>
      </c>
      <c r="J190" s="146"/>
      <c r="K190" s="146">
        <f>K189+K100</f>
        <v>7062.24</v>
      </c>
      <c r="L190" s="146"/>
      <c r="M190" s="146">
        <f>M189+M100</f>
        <v>3110.71</v>
      </c>
      <c r="N190" s="146">
        <f>N189+N100</f>
        <v>467377.67</v>
      </c>
      <c r="O190" s="146">
        <f>O189+O100</f>
        <v>6019500</v>
      </c>
      <c r="P190" s="67"/>
      <c r="Q190" s="2"/>
      <c r="R190" s="2"/>
      <c r="S190" s="2"/>
    </row>
    <row r="191" spans="1:19" ht="22.5" customHeight="1" x14ac:dyDescent="0.45">
      <c r="A191" s="49"/>
      <c r="B191" s="39"/>
      <c r="C191" s="18"/>
      <c r="D191" s="18"/>
      <c r="E191" s="32"/>
      <c r="F191" s="32"/>
      <c r="G191" s="32"/>
      <c r="H191" s="18"/>
      <c r="I191" s="18"/>
      <c r="J191" s="18"/>
      <c r="K191" s="18"/>
      <c r="L191" s="18"/>
      <c r="M191" s="18"/>
      <c r="N191" s="61"/>
      <c r="O191" s="61"/>
      <c r="P191" s="2"/>
      <c r="Q191" s="2"/>
      <c r="R191" s="2"/>
      <c r="S191" s="2"/>
    </row>
    <row r="192" spans="1:19" ht="69" x14ac:dyDescent="0.45">
      <c r="A192" s="49"/>
      <c r="B192" s="39" t="s">
        <v>143</v>
      </c>
      <c r="C192" s="18"/>
      <c r="D192" s="18"/>
      <c r="E192" s="32"/>
      <c r="F192" s="32"/>
      <c r="G192" s="32"/>
      <c r="H192" s="18"/>
      <c r="I192" s="18"/>
      <c r="J192" s="18"/>
      <c r="K192" s="18"/>
      <c r="L192" s="18"/>
      <c r="M192" s="18"/>
      <c r="N192" s="61"/>
      <c r="O192" s="61"/>
      <c r="P192" s="2"/>
      <c r="Q192" s="2"/>
      <c r="R192" s="2"/>
      <c r="S192" s="2"/>
    </row>
    <row r="193" spans="1:19" ht="30" customHeight="1" x14ac:dyDescent="0.45">
      <c r="A193" s="49"/>
      <c r="B193" s="39"/>
      <c r="C193" s="18"/>
      <c r="D193" s="18"/>
      <c r="E193" s="32"/>
      <c r="F193" s="32"/>
      <c r="G193" s="32"/>
      <c r="H193" s="18"/>
      <c r="I193" s="18"/>
      <c r="J193" s="18"/>
      <c r="K193" s="18"/>
      <c r="L193" s="18"/>
      <c r="M193" s="18"/>
      <c r="N193" s="61"/>
      <c r="O193" s="61"/>
      <c r="P193" s="2"/>
      <c r="Q193" s="2"/>
      <c r="R193" s="2"/>
      <c r="S193" s="2"/>
    </row>
    <row r="194" spans="1:19" ht="37.5" customHeight="1" x14ac:dyDescent="0.45">
      <c r="A194" s="49"/>
      <c r="B194" s="39"/>
      <c r="C194" s="18"/>
      <c r="D194" s="18"/>
      <c r="E194" s="32"/>
      <c r="F194" s="32"/>
      <c r="G194" s="32"/>
      <c r="H194" s="18"/>
      <c r="I194" s="18"/>
      <c r="J194" s="18"/>
      <c r="K194" s="18"/>
      <c r="L194" s="18"/>
      <c r="M194" s="18"/>
      <c r="N194" s="61"/>
      <c r="O194" s="61"/>
      <c r="P194" s="2"/>
      <c r="Q194" s="2"/>
      <c r="R194" s="2"/>
      <c r="S194" s="2"/>
    </row>
    <row r="195" spans="1:19" ht="69" x14ac:dyDescent="0.45">
      <c r="A195" s="49"/>
      <c r="B195" s="39" t="s">
        <v>24</v>
      </c>
      <c r="C195" s="18"/>
      <c r="D195" s="18"/>
      <c r="E195" s="32"/>
      <c r="F195" s="32"/>
      <c r="G195" s="32"/>
      <c r="H195" s="18"/>
      <c r="I195" s="18"/>
      <c r="J195" s="18"/>
      <c r="K195" s="18"/>
      <c r="L195" s="18"/>
      <c r="M195" s="18"/>
      <c r="N195" s="61"/>
      <c r="O195" s="61"/>
      <c r="P195" s="2"/>
      <c r="Q195" s="2"/>
      <c r="R195" s="2"/>
      <c r="S195" s="2"/>
    </row>
    <row r="196" spans="1:19" ht="34.5" x14ac:dyDescent="0.45">
      <c r="A196" s="49"/>
      <c r="B196" s="39"/>
      <c r="C196" s="18"/>
      <c r="D196" s="18"/>
      <c r="E196" s="32"/>
      <c r="F196" s="32"/>
      <c r="G196" s="32"/>
      <c r="H196" s="18"/>
      <c r="I196" s="18"/>
      <c r="J196" s="18"/>
      <c r="K196" s="18"/>
      <c r="L196" s="18"/>
      <c r="M196" s="18"/>
      <c r="N196" s="61"/>
      <c r="O196" s="61"/>
      <c r="P196" s="2"/>
      <c r="Q196" s="2"/>
      <c r="R196" s="2"/>
      <c r="S196" s="2"/>
    </row>
    <row r="197" spans="1:19" ht="35.25" x14ac:dyDescent="0.45">
      <c r="A197" s="49"/>
      <c r="B197" s="40" t="s">
        <v>58</v>
      </c>
      <c r="C197" s="18"/>
      <c r="D197" s="18"/>
      <c r="E197" s="32"/>
      <c r="F197" s="32"/>
      <c r="G197" s="32"/>
      <c r="H197" s="18"/>
      <c r="I197" s="18"/>
      <c r="J197" s="18"/>
      <c r="K197" s="18"/>
      <c r="L197" s="18"/>
      <c r="M197" s="18"/>
      <c r="N197" s="61"/>
      <c r="O197" s="61"/>
      <c r="P197" s="2"/>
      <c r="Q197" s="2"/>
      <c r="R197" s="2"/>
      <c r="S197" s="2"/>
    </row>
    <row r="198" spans="1:19" ht="69" x14ac:dyDescent="0.45">
      <c r="A198" s="49"/>
      <c r="B198" s="39" t="s">
        <v>67</v>
      </c>
      <c r="C198" s="18"/>
      <c r="D198" s="18"/>
      <c r="E198" s="32"/>
      <c r="F198" s="32"/>
      <c r="G198" s="32"/>
      <c r="H198" s="18"/>
      <c r="I198" s="18"/>
      <c r="J198" s="18"/>
      <c r="K198" s="18"/>
      <c r="L198" s="18"/>
      <c r="M198" s="18"/>
      <c r="N198" s="61"/>
      <c r="O198" s="61"/>
      <c r="P198" s="2"/>
      <c r="Q198" s="2"/>
      <c r="R198" s="2"/>
      <c r="S198" s="2"/>
    </row>
    <row r="199" spans="1:19" ht="34.5" x14ac:dyDescent="0.45">
      <c r="A199" s="49"/>
      <c r="B199" s="41"/>
      <c r="C199" s="13"/>
      <c r="D199" s="13"/>
      <c r="E199" s="12"/>
      <c r="F199" s="12"/>
      <c r="G199" s="12"/>
      <c r="H199" s="13"/>
      <c r="I199" s="13"/>
      <c r="J199" s="13"/>
      <c r="K199" s="13"/>
      <c r="L199" s="18"/>
      <c r="M199" s="18"/>
      <c r="N199" s="61"/>
      <c r="O199" s="61"/>
      <c r="P199" s="2"/>
      <c r="Q199" s="2"/>
      <c r="R199" s="2"/>
      <c r="S199" s="2"/>
    </row>
    <row r="200" spans="1:19" ht="34.5" x14ac:dyDescent="0.45">
      <c r="A200" s="50"/>
      <c r="B200" s="41"/>
      <c r="C200" s="13"/>
      <c r="D200" s="13"/>
      <c r="E200" s="12"/>
      <c r="F200" s="12"/>
      <c r="G200" s="12"/>
      <c r="H200" s="13"/>
      <c r="I200" s="13"/>
      <c r="J200" s="13"/>
      <c r="K200" s="13"/>
      <c r="L200" s="13"/>
      <c r="M200" s="13"/>
      <c r="N200" s="62"/>
      <c r="O200" s="62"/>
      <c r="P200" s="2"/>
      <c r="Q200" s="2"/>
      <c r="R200" s="2"/>
      <c r="S200" s="2"/>
    </row>
    <row r="201" spans="1:19" ht="34.5" x14ac:dyDescent="0.45">
      <c r="A201" s="50"/>
      <c r="B201" s="41"/>
      <c r="C201" s="13"/>
      <c r="D201" s="13"/>
      <c r="E201" s="12"/>
      <c r="F201" s="12"/>
      <c r="G201" s="12"/>
      <c r="H201" s="13"/>
      <c r="I201" s="13"/>
      <c r="J201" s="13"/>
      <c r="K201" s="13"/>
      <c r="L201" s="13"/>
      <c r="M201" s="13"/>
      <c r="N201" s="62"/>
      <c r="O201" s="62"/>
      <c r="P201" s="2"/>
      <c r="Q201" s="2"/>
      <c r="R201" s="2"/>
      <c r="S201" s="2"/>
    </row>
    <row r="202" spans="1:19" ht="34.5" x14ac:dyDescent="0.45">
      <c r="A202" s="50"/>
      <c r="B202" s="41"/>
      <c r="C202" s="13"/>
      <c r="D202" s="13"/>
      <c r="E202" s="12"/>
      <c r="F202" s="12"/>
      <c r="G202" s="12"/>
      <c r="H202" s="13"/>
      <c r="I202" s="13"/>
      <c r="J202" s="13"/>
      <c r="K202" s="13"/>
      <c r="L202" s="13"/>
      <c r="M202" s="13"/>
      <c r="N202" s="62"/>
      <c r="O202" s="62"/>
    </row>
    <row r="203" spans="1:19" ht="34.5" x14ac:dyDescent="0.45">
      <c r="A203" s="50"/>
      <c r="B203" s="41"/>
      <c r="C203" s="13"/>
      <c r="D203" s="13"/>
      <c r="E203" s="12"/>
      <c r="F203" s="12"/>
      <c r="G203" s="12"/>
      <c r="H203" s="13"/>
      <c r="I203" s="13"/>
      <c r="J203" s="13"/>
      <c r="K203" s="13"/>
      <c r="L203" s="13"/>
      <c r="M203" s="13"/>
      <c r="N203" s="62"/>
      <c r="O203" s="62"/>
    </row>
    <row r="204" spans="1:19" ht="34.5" x14ac:dyDescent="0.45">
      <c r="A204" s="50"/>
      <c r="B204" s="41"/>
      <c r="C204" s="13"/>
      <c r="D204" s="13"/>
      <c r="E204" s="12"/>
      <c r="F204" s="12"/>
      <c r="G204" s="12"/>
      <c r="H204" s="13"/>
      <c r="I204" s="13"/>
      <c r="J204" s="13"/>
      <c r="K204" s="13"/>
      <c r="L204" s="13"/>
      <c r="M204" s="13"/>
      <c r="N204" s="62"/>
      <c r="O204" s="62"/>
    </row>
    <row r="205" spans="1:19" ht="34.5" x14ac:dyDescent="0.45">
      <c r="A205" s="50"/>
      <c r="B205" s="41"/>
      <c r="C205" s="13"/>
      <c r="D205" s="13"/>
      <c r="E205" s="12"/>
      <c r="F205" s="12"/>
      <c r="G205" s="12"/>
      <c r="H205" s="13"/>
      <c r="I205" s="13"/>
      <c r="J205" s="13"/>
      <c r="K205" s="13"/>
      <c r="L205" s="13"/>
      <c r="M205" s="13"/>
      <c r="N205" s="62"/>
      <c r="O205" s="62"/>
    </row>
    <row r="206" spans="1:19" ht="34.5" x14ac:dyDescent="0.45">
      <c r="A206" s="50"/>
      <c r="B206" s="41"/>
      <c r="C206" s="13"/>
      <c r="D206" s="13"/>
      <c r="E206" s="12"/>
      <c r="F206" s="12"/>
      <c r="G206" s="12"/>
      <c r="H206" s="13"/>
      <c r="I206" s="13"/>
      <c r="J206" s="13"/>
      <c r="K206" s="13"/>
      <c r="L206" s="13"/>
      <c r="M206" s="13"/>
      <c r="N206" s="62"/>
      <c r="O206" s="62"/>
    </row>
    <row r="207" spans="1:19" ht="34.5" x14ac:dyDescent="0.45">
      <c r="A207" s="50"/>
      <c r="B207" s="41"/>
      <c r="C207" s="13"/>
      <c r="D207" s="13"/>
      <c r="E207" s="12"/>
      <c r="F207" s="12"/>
      <c r="G207" s="12"/>
      <c r="H207" s="13"/>
      <c r="I207" s="13"/>
      <c r="J207" s="13"/>
      <c r="K207" s="13"/>
      <c r="L207" s="13"/>
      <c r="M207" s="13"/>
      <c r="N207" s="62"/>
      <c r="O207" s="62"/>
    </row>
    <row r="208" spans="1:19" ht="34.5" x14ac:dyDescent="0.45">
      <c r="A208" s="50"/>
      <c r="B208" s="41"/>
      <c r="C208" s="13"/>
      <c r="D208" s="13"/>
      <c r="E208" s="12"/>
      <c r="F208" s="12"/>
      <c r="G208" s="12"/>
      <c r="H208" s="13"/>
      <c r="I208" s="13"/>
      <c r="J208" s="13"/>
      <c r="K208" s="13"/>
      <c r="L208" s="13"/>
      <c r="M208" s="13"/>
      <c r="N208" s="62"/>
      <c r="O208" s="62"/>
    </row>
    <row r="209" spans="1:15" ht="34.5" x14ac:dyDescent="0.45">
      <c r="A209" s="50"/>
      <c r="B209" s="41"/>
      <c r="C209" s="13"/>
      <c r="D209" s="13"/>
      <c r="E209" s="12"/>
      <c r="F209" s="12"/>
      <c r="G209" s="12"/>
      <c r="H209" s="13"/>
      <c r="I209" s="13"/>
      <c r="J209" s="13"/>
      <c r="K209" s="13"/>
      <c r="L209" s="13"/>
      <c r="M209" s="13"/>
      <c r="N209" s="62"/>
      <c r="O209" s="62"/>
    </row>
    <row r="210" spans="1:15" ht="34.5" x14ac:dyDescent="0.45">
      <c r="A210" s="50"/>
      <c r="B210" s="41"/>
      <c r="C210" s="13"/>
      <c r="D210" s="13"/>
      <c r="E210" s="12"/>
      <c r="F210" s="12"/>
      <c r="G210" s="12"/>
      <c r="H210" s="13"/>
      <c r="I210" s="13"/>
      <c r="J210" s="13"/>
      <c r="K210" s="13"/>
      <c r="L210" s="13"/>
      <c r="M210" s="13"/>
      <c r="N210" s="62"/>
      <c r="O210" s="62"/>
    </row>
    <row r="211" spans="1:15" ht="34.5" x14ac:dyDescent="0.45">
      <c r="A211" s="50"/>
      <c r="B211" s="41"/>
      <c r="C211" s="13"/>
      <c r="D211" s="13"/>
      <c r="E211" s="12"/>
      <c r="F211" s="12"/>
      <c r="G211" s="12"/>
      <c r="H211" s="13"/>
      <c r="I211" s="13"/>
      <c r="J211" s="13"/>
      <c r="K211" s="13"/>
      <c r="L211" s="13"/>
      <c r="M211" s="13"/>
      <c r="N211" s="62"/>
      <c r="O211" s="62"/>
    </row>
    <row r="212" spans="1:15" ht="34.5" x14ac:dyDescent="0.45">
      <c r="A212" s="50"/>
      <c r="B212" s="41"/>
      <c r="C212" s="13"/>
      <c r="D212" s="13"/>
      <c r="E212" s="12"/>
      <c r="F212" s="12"/>
      <c r="G212" s="12"/>
      <c r="H212" s="13"/>
      <c r="I212" s="13"/>
      <c r="J212" s="13"/>
      <c r="K212" s="13"/>
      <c r="L212" s="13"/>
      <c r="M212" s="13"/>
      <c r="N212" s="62"/>
      <c r="O212" s="62"/>
    </row>
  </sheetData>
  <mergeCells count="24">
    <mergeCell ref="A182:O182"/>
    <mergeCell ref="A116:O116"/>
    <mergeCell ref="A31:O31"/>
    <mergeCell ref="A15:B15"/>
    <mergeCell ref="B9:G9"/>
    <mergeCell ref="F12:G12"/>
    <mergeCell ref="H12:I12"/>
    <mergeCell ref="J12:K12"/>
    <mergeCell ref="A119:O119"/>
    <mergeCell ref="A139:O139"/>
    <mergeCell ref="A144:O144"/>
    <mergeCell ref="A160:O160"/>
    <mergeCell ref="A102:O102"/>
    <mergeCell ref="A111:O111"/>
    <mergeCell ref="B5:D5"/>
    <mergeCell ref="B7:D7"/>
    <mergeCell ref="A72:O72"/>
    <mergeCell ref="A84:O84"/>
    <mergeCell ref="A101:O101"/>
    <mergeCell ref="A38:O38"/>
    <mergeCell ref="L12:M12"/>
    <mergeCell ref="A41:O41"/>
    <mergeCell ref="A65:O65"/>
    <mergeCell ref="A16:O16"/>
  </mergeCells>
  <phoneticPr fontId="0" type="noConversion"/>
  <pageMargins left="0.43307086614173229" right="0.43307086614173229" top="0.55118110236220474" bottom="0.55118110236220474" header="0.19685039370078741" footer="0.19685039370078741"/>
  <pageSetup paperSize="9" scale="35" fitToHeight="0" pageOrder="overThenDown" orientation="landscape" verticalDpi="0" r:id="rId1"/>
  <headerFooter scaleWithDoc="0" alignWithMargins="0"/>
  <ignoredErrors>
    <ignoredError sqref="E10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atzt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Ekonom</dc:creator>
  <cp:lastModifiedBy>admin</cp:lastModifiedBy>
  <cp:lastPrinted>2015-03-30T05:51:38Z</cp:lastPrinted>
  <dcterms:created xsi:type="dcterms:W3CDTF">2009-07-29T06:51:45Z</dcterms:created>
  <dcterms:modified xsi:type="dcterms:W3CDTF">2015-04-07T12:29:03Z</dcterms:modified>
</cp:coreProperties>
</file>